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5" windowWidth="16935" windowHeight="8130" activeTab="0"/>
  </bookViews>
  <sheets>
    <sheet name="About the workbook" sheetId="1" r:id="rId1"/>
    <sheet name="Monthly Instructions" sheetId="2" r:id="rId2"/>
    <sheet name="County One Time Input-BASE" sheetId="3" r:id="rId3"/>
    <sheet name="Monthly Receipts Input" sheetId="4" r:id="rId4"/>
    <sheet name="County Dist Support Svc Acct" sheetId="5" r:id="rId5"/>
    <sheet name="County Distribution Law Enf" sheetId="6" r:id="rId6"/>
    <sheet name="Statewide Forecast Model" sheetId="7" r:id="rId7"/>
    <sheet name="County One Time Input-GROWTH" sheetId="8" r:id="rId8"/>
  </sheets>
  <definedNames/>
  <calcPr fullCalcOnLoad="1"/>
</workbook>
</file>

<file path=xl/sharedStrings.xml><?xml version="1.0" encoding="utf-8"?>
<sst xmlns="http://schemas.openxmlformats.org/spreadsheetml/2006/main" count="1382" uniqueCount="304">
  <si>
    <t xml:space="preserve">For the Month of    </t>
  </si>
  <si>
    <t>Subaccount</t>
  </si>
  <si>
    <t>Subaccount Distribution
Statewide Per SB1020</t>
  </si>
  <si>
    <t>% Of Distribution</t>
  </si>
  <si>
    <t>Statewide Estimate per Actual Receipts to Date</t>
  </si>
  <si>
    <t>Estimate vs Allocation Variance</t>
  </si>
  <si>
    <t>Statewide Allocation per SB1020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</si>
  <si>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</si>
  <si>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</si>
  <si>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</si>
  <si>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</si>
  <si>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</si>
  <si>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</si>
  <si>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</si>
  <si>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</si>
  <si>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</si>
  <si>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</si>
  <si>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</si>
  <si>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</si>
  <si>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BASED ON RECEIPTS THROUGH:</t>
  </si>
  <si>
    <t>STATEWIDE MONTHLY RECEIPTS - SUPPORT SERVICES ACCOUNT</t>
  </si>
  <si>
    <t>SUBACCOUNT</t>
  </si>
  <si>
    <t>SUBACCT DISTRIBUTION</t>
  </si>
  <si>
    <t>WCRTS</t>
  </si>
  <si>
    <t>TOTAL SUPPORT SVCS RECEIPTS</t>
  </si>
  <si>
    <t>FOR CALCULATIONS</t>
  </si>
  <si>
    <t>DO NOT DELETE</t>
  </si>
  <si>
    <t>% TO DATE</t>
  </si>
  <si>
    <t>AB 12</t>
  </si>
  <si>
    <t>Foster Care Administration</t>
  </si>
  <si>
    <t>Adult Protective Services</t>
  </si>
  <si>
    <t>Contract Svcs Acct - Santa Clara</t>
  </si>
  <si>
    <t>Adoption Assistance Program</t>
  </si>
  <si>
    <t>Foster Care (Assistance)****</t>
  </si>
  <si>
    <t>Adoptions (Admin)</t>
  </si>
  <si>
    <t xml:space="preserve">Child Abuse Prevention (CAPIT) </t>
  </si>
  <si>
    <t>Child Welfare Services</t>
  </si>
  <si>
    <t>PROGRAM</t>
  </si>
  <si>
    <t>STATEWIDE % DIST BASED ON CFL 12/13-16</t>
  </si>
  <si>
    <t>STATEWIDE DISTRIBUTION TO PROGRAMS</t>
  </si>
  <si>
    <t>PROTECTIVE SERVICES SUBACCOUNT DETAIL</t>
  </si>
  <si>
    <t>TOTAL</t>
  </si>
  <si>
    <t>SUBACCT % DISTRIBUTION</t>
  </si>
  <si>
    <t>BEHAVIORAL HEALTH SUBACCOUNT DETAIL</t>
  </si>
  <si>
    <t>Substance Abuse Fund</t>
  </si>
  <si>
    <t>Mental Health Fund</t>
  </si>
  <si>
    <t>PLEASE DO NOT ENTER ANYTHING BELOW THIS LINE. THANK YOU</t>
  </si>
  <si>
    <t>WCRTS SUBACCOUNT DETAIL</t>
  </si>
  <si>
    <t>Emancipated Youth Stipend</t>
  </si>
  <si>
    <t>STOP</t>
  </si>
  <si>
    <t>Group Home Monthly Visit</t>
  </si>
  <si>
    <t>ILP</t>
  </si>
  <si>
    <t>Foster Parent Training &amp; Recruitment</t>
  </si>
  <si>
    <t>Kinship Foster Care Emer. Fund</t>
  </si>
  <si>
    <t>State Family Preservation</t>
  </si>
  <si>
    <t>Subtance Abuse/HIV Infant Program</t>
  </si>
  <si>
    <t>CWSOIP/DR/SA/PYS</t>
  </si>
  <si>
    <t>CWSOIP - Probation</t>
  </si>
  <si>
    <t>Kinship Suport Services Program</t>
  </si>
  <si>
    <t>THPP &amp; THP-Plus</t>
  </si>
  <si>
    <t>CWS Basic &amp; Augmentation</t>
  </si>
  <si>
    <t>EA Foster Care</t>
  </si>
  <si>
    <t>FEDGAP Admin</t>
  </si>
  <si>
    <t>Drug Medi-Cal</t>
  </si>
  <si>
    <t>NonDrug Medi-Cal</t>
  </si>
  <si>
    <t>Drug Court</t>
  </si>
  <si>
    <t>EPSDT</t>
  </si>
  <si>
    <t>Medical Managed Care</t>
  </si>
  <si>
    <t>Healthy Families</t>
  </si>
  <si>
    <t>Katie A. Services</t>
  </si>
  <si>
    <t>EPSDT Base Allocation</t>
  </si>
  <si>
    <t>Breakdown of SUBSTANCE ABUSE FUND by Component</t>
  </si>
  <si>
    <t>Breakdown of FOSTER CARE ADMINISTRATION by Component</t>
  </si>
  <si>
    <t>Breakdown of CHILD WELFARE SERVICES by Component</t>
  </si>
  <si>
    <t>Breakdown of MENTAL HEALTH FUND by Component</t>
  </si>
  <si>
    <t>Breakdown of EPSDT by Component</t>
  </si>
  <si>
    <t>TOTAL EPSDT</t>
  </si>
  <si>
    <t>TOTAL SUBSTANCE ABUSE</t>
  </si>
  <si>
    <t>TOTAL MENTAL HEALTH</t>
  </si>
  <si>
    <t>TOTAL BEHAVIORAL HEALTH</t>
  </si>
  <si>
    <t>TOTAL CHILD WELFARE SERVICES</t>
  </si>
  <si>
    <t>TOTAL FC ADMINISTRATION</t>
  </si>
  <si>
    <t>STATEWIDE MONTHLY RECEIPTS - LAW ENFORCEMENT SERVICES ACCOUNT</t>
  </si>
  <si>
    <t>PROTECTIVE SERVICES</t>
  </si>
  <si>
    <t>BEHAVIORAL HEALTH</t>
  </si>
  <si>
    <t>TRIAL COURT SECURITY</t>
  </si>
  <si>
    <t>COMMUNITY CORRECTIONS</t>
  </si>
  <si>
    <t>DA &amp; PUBLIC DEFENDER</t>
  </si>
  <si>
    <t>WCRTS (FIXED AMT)</t>
  </si>
  <si>
    <t>TOTAL SS AND LAW ENFORCE</t>
  </si>
  <si>
    <t>FORECAST MODEL - LOCAL REVENUE FUND 2011</t>
  </si>
  <si>
    <t>TOTAL LAW ENF SVC RECEIPTS</t>
  </si>
  <si>
    <t>TOTAL SS AND LAW ENF SVC</t>
  </si>
  <si>
    <t>% To Total LRF</t>
  </si>
  <si>
    <t>STATEWIDE RECEIPTS - SUPPORT SERVICES ACCOUNT</t>
  </si>
  <si>
    <t>TOTAL PROTECTIVE SERVICE</t>
  </si>
  <si>
    <t>% Of Distribution (Per SB1020)</t>
  </si>
  <si>
    <t>COUNTY:</t>
  </si>
  <si>
    <t>SUPPORT SERVICES ACCOUNT</t>
  </si>
  <si>
    <t>LAW ENFORCEMENT SERVICES ACCOUNT</t>
  </si>
  <si>
    <t>FISCAL YEAR:</t>
  </si>
  <si>
    <t>% To Total Local Revenue Fund 2011</t>
  </si>
  <si>
    <t>TOTAL PROTECTIVE SVC</t>
  </si>
  <si>
    <t>COUNTY PORTION</t>
  </si>
  <si>
    <t>PLEASE DO NOT INPUT ANYTHING ON THIS PAGE. THANK YOU.</t>
  </si>
  <si>
    <t>JUVENILE JUSTICE</t>
  </si>
  <si>
    <t>STATEWIDE % DIST BASED ON SPREADSHEET</t>
  </si>
  <si>
    <t>STATEWIDE RECEIPTS - LAW ENFORCEMENT SERVICES ACCOUNT</t>
  </si>
  <si>
    <t>TOTAL CTY LAW ENF SVC RECEIPTS</t>
  </si>
  <si>
    <t>TOTAL CTY SUPPORT SVCS RECEIPTS</t>
  </si>
  <si>
    <t>PROP 172 RATIOS</t>
  </si>
  <si>
    <t>PROP 172 %</t>
  </si>
  <si>
    <t>About the Workbook:</t>
  </si>
  <si>
    <t>2. The left side is Statewide distribution information, the right side is County information.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</si>
  <si>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>are the required information that need to be populated each month</t>
    </r>
  </si>
  <si>
    <t>2. Click on any of the Sub accounts to get to the LRF 2011 reconciliation page which shows the Statewide monthly receipts</t>
  </si>
  <si>
    <t>Statewide Forecast Model sheet:</t>
  </si>
  <si>
    <t>County Dist Support Svc Acct sheet:</t>
  </si>
  <si>
    <t>1. Shows county portion of Support Service receipts and distribution to programs based on information entered on the input sheets</t>
  </si>
  <si>
    <t>County Distribution Law Enf sheet:</t>
  </si>
  <si>
    <t>1. Shows county portion of Law Enforcement Account receipts based on information entered on the input sheets</t>
  </si>
  <si>
    <t>Behavioral Health Distribution</t>
  </si>
  <si>
    <t>1. Shows actual receipts to date and compares Statewide allocation vs estimate (based on Prop 172 percentage)</t>
  </si>
  <si>
    <t>Go to Monthly Receipts Input tab and click on Protective Services Link (cell A5)</t>
  </si>
  <si>
    <t>REALIGNMENT - STATEWIDE LOCAL REVENUE FUND 2011</t>
  </si>
  <si>
    <t>On cell D1, input the MONTH</t>
  </si>
  <si>
    <t>DO NOT ENTER ANYTHING ELSE BELOW OR IN THE FOLLOWING TABS</t>
  </si>
  <si>
    <t>Complete lines 5-7 and 14-17 of the corresponding month</t>
  </si>
  <si>
    <t>Verify that the totals in the bottom portion match with your entries</t>
  </si>
  <si>
    <t>Go to County Dist Support Svc Acct tab, compare the distribution totals with the AB 118 Analysis file</t>
  </si>
  <si>
    <t>Print a copy of the Statewide Forcast Model tab for Robert</t>
  </si>
  <si>
    <r>
      <t xml:space="preserve">Open the latest Statewide Local Revenue Fund file and </t>
    </r>
    <r>
      <rPr>
        <b/>
        <sz val="10"/>
        <color indexed="8"/>
        <rFont val="Calibri"/>
        <family val="2"/>
      </rPr>
      <t>Save</t>
    </r>
    <r>
      <rPr>
        <sz val="10"/>
        <color indexed="8"/>
        <rFont val="Calibri"/>
        <family val="2"/>
      </rPr>
      <t xml:space="preserve"> with payment issue date (found on Remittance advice)</t>
    </r>
  </si>
  <si>
    <t>FREQUENCY/SCHEDULE:</t>
  </si>
  <si>
    <t>Monthly - End of the Month</t>
  </si>
  <si>
    <t>PATH:</t>
  </si>
  <si>
    <t>G:\FISCAL\Realignment\2012 Realignment</t>
  </si>
  <si>
    <t>Click on the Reconciliation of the current Fiscal Year</t>
  </si>
  <si>
    <t>Print and refer to the recon file when completing the following on the Monthly Receipts Input sheet:</t>
  </si>
  <si>
    <t xml:space="preserve">SANTA CLARA -Contract Svcs </t>
  </si>
  <si>
    <t xml:space="preserve">TOTAL </t>
  </si>
  <si>
    <t>PROTECTIVE SERVICES ALLOCATION</t>
  </si>
  <si>
    <t>(EXCLUDING WCRTS)</t>
  </si>
  <si>
    <t>ALLOCATION OF SUPPORT SERVICES</t>
  </si>
  <si>
    <t>DISTRIBUTION BY COUNTY - SUPPORT SERVICES</t>
  </si>
  <si>
    <t>DISTRIBUTION BY COUNTY - LAW ENFORCEMENT ACCOUNT</t>
  </si>
  <si>
    <t>COUNTY</t>
  </si>
  <si>
    <t>STATEWIDE % DIST BASED SB 1020</t>
  </si>
  <si>
    <t>ALAMEDA COUNTY</t>
  </si>
  <si>
    <t>MARIN COUNTY</t>
  </si>
  <si>
    <t>LOS ANGELES COUNTY</t>
  </si>
  <si>
    <t>SAN DIEGO COUNTY</t>
  </si>
  <si>
    <t>SAN FRANCISCO COUNTY</t>
  </si>
  <si>
    <t>SAN JOAQUIN COUNTY</t>
  </si>
  <si>
    <t>TOTAL WCRTS</t>
  </si>
  <si>
    <t>DA/PUBLIC DEFENDER</t>
  </si>
  <si>
    <t>DISTRICT ATTY/PUBLIC DEFENDER</t>
  </si>
  <si>
    <t>ALLOCATION OF LAW ENFORCEMENT SERVICES ACCOUNT</t>
  </si>
  <si>
    <t>STATEWIDE % DIST BASED ON CFL 12/13-16 + GROWTH</t>
  </si>
  <si>
    <t>Youth Offender Block Grant</t>
  </si>
  <si>
    <t>Juvenile Reentry Grant</t>
  </si>
  <si>
    <t>2012-13</t>
  </si>
  <si>
    <t>DISTRIBUTION BY COUNTY - JUVENILE JUSTICE SUBACCOUNT</t>
  </si>
  <si>
    <t>YOUTH OFFENDER BLOCK GRANT</t>
  </si>
  <si>
    <t>JUVENILE REENTRY GRANT</t>
  </si>
  <si>
    <t>YOUTH OFFENDER BLOCK</t>
  </si>
  <si>
    <t>JUVENILE REENTRY</t>
  </si>
  <si>
    <t>GROWTH AMOUNT TO DISTRIBUTE:</t>
  </si>
  <si>
    <t>PROTECTIVE SERVICES GROWTH SPECIAL ACCT</t>
  </si>
  <si>
    <t>PROTECTIVE SERVICES GROWTH SPECIAL ACCT FOR CWS</t>
  </si>
  <si>
    <t>BEHAVIORAL HEALTH GROWTH SPECIAL ACCT</t>
  </si>
  <si>
    <t>TRIAL COURT SECURITY GROWTH SPECIAL ACCT</t>
  </si>
  <si>
    <t>COMMUNITY CORRECTIONS GROWTH SPECIAL ACCT</t>
  </si>
  <si>
    <t>DA &amp; PUBLIC DEFENDER GROWTH SPECIAL ACCT</t>
  </si>
  <si>
    <t>JUVENILE JUSTICE GROWTH SPECIAL ACCT</t>
  </si>
  <si>
    <t xml:space="preserve">PROTECTIVE SERVICES ALLOCATION </t>
  </si>
  <si>
    <t>(INCLUDING CWS)</t>
  </si>
  <si>
    <t>PER DOF</t>
  </si>
  <si>
    <t>% Of Growth Distribution</t>
  </si>
  <si>
    <t>MENTAL HEALTH (info only)</t>
  </si>
  <si>
    <t>TOTAL (excl Mental Health)</t>
  </si>
  <si>
    <t>TOTAL SS AND LAW ENFORCE (excluding Mental Health)</t>
  </si>
  <si>
    <t>GROWTH</t>
  </si>
  <si>
    <t>GROWTH DISTRIB</t>
  </si>
  <si>
    <t>PROP 172 % TO DATE</t>
  </si>
  <si>
    <t>GROWTH %  DIST</t>
  </si>
  <si>
    <t>SAN MATEO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</si>
  <si>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</si>
  <si>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</si>
  <si>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</si>
  <si>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</si>
  <si>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</si>
  <si>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</si>
  <si>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</si>
  <si>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</si>
  <si>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</si>
  <si>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</si>
  <si>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</si>
  <si>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</si>
  <si>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</si>
  <si>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</si>
  <si>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</si>
  <si>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</si>
  <si>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</si>
  <si>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</si>
  <si>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</si>
  <si>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</si>
  <si>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</si>
  <si>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</si>
  <si>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</si>
  <si>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</si>
  <si>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</si>
  <si>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</si>
  <si>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</si>
  <si>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</si>
  <si>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</si>
  <si>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</si>
  <si>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</si>
  <si>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</si>
  <si>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</si>
  <si>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</si>
  <si>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</si>
  <si>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</si>
  <si>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</si>
  <si>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</si>
  <si>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</si>
  <si>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</si>
  <si>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</si>
  <si>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</si>
  <si>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</si>
  <si>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</si>
  <si>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</si>
  <si>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</si>
  <si>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</si>
  <si>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</si>
  <si>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</si>
  <si>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</si>
  <si>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</si>
  <si>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</si>
  <si>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</si>
  <si>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</si>
  <si>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</si>
  <si>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</si>
  <si>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</si>
  <si>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Mateo</t>
  </si>
  <si>
    <t xml:space="preserve">Subaccount Distribution of Growth
</t>
  </si>
  <si>
    <t>% To Total Growth</t>
  </si>
  <si>
    <t>CWS ONLY</t>
  </si>
  <si>
    <t>PS</t>
  </si>
  <si>
    <t>CWS</t>
  </si>
  <si>
    <t>***Allocations and Ratios Change every year***</t>
  </si>
  <si>
    <t>SAME % AS 2012-13 BASE</t>
  </si>
  <si>
    <t>***Still pending correct distribution by program for protective services***</t>
  </si>
  <si>
    <t>***Allocations and Ratios Change every year.  The amount of the 2012-13 Growth allocations are subject to change***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</si>
  <si>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 xml:space="preserve">are the required information that need to be populated in the </t>
    </r>
    <r>
      <rPr>
        <b/>
        <sz val="12"/>
        <color indexed="8"/>
        <rFont val="Times New Roman"/>
        <family val="1"/>
      </rPr>
      <t>beginning of the year.</t>
    </r>
  </si>
  <si>
    <t>County One Time Input - BASE sheet:</t>
  </si>
  <si>
    <t>NOTE: The base amount, Distribution by Program, and by County change every year</t>
  </si>
  <si>
    <t>County One Time Input - GROWTH sheet:</t>
  </si>
  <si>
    <t>Statewide GROWTH Distribution</t>
  </si>
  <si>
    <t>Protective Services Distribution 2012-13 only</t>
  </si>
  <si>
    <t>Statewide Distribution/ Law Enforcement Distribution by County</t>
  </si>
  <si>
    <t xml:space="preserve">Protective Services GROWTH dist - </t>
  </si>
  <si>
    <t>Distribution % provided by Department of Finance</t>
  </si>
  <si>
    <t>Behavioral Health GROWTH Distribution</t>
  </si>
  <si>
    <t>Used 2012-13 distribution</t>
  </si>
  <si>
    <t>Juvenile Justice GROWTH Distribution</t>
  </si>
  <si>
    <t>***Allocations and Ratios Change every year.  Below distributions are estimates, pending distribution ratios from DOF***</t>
  </si>
  <si>
    <t>Alameda</t>
  </si>
  <si>
    <t>Marin</t>
  </si>
  <si>
    <t>Los Angeles</t>
  </si>
  <si>
    <t>San Diego</t>
  </si>
  <si>
    <t>San Francisco</t>
  </si>
  <si>
    <t>San Joaquin</t>
  </si>
  <si>
    <t>TBD</t>
  </si>
  <si>
    <t>PENDING DISTRIBUTION % BY COUNTY</t>
  </si>
  <si>
    <t>PENDING COUNTY DISTRIB RATIO</t>
  </si>
  <si>
    <t>TO BE DETERMINED</t>
  </si>
  <si>
    <t xml:space="preserve">For Law Enforcement Services GROWTH, the County % distributions have all been left at "TBD". Once the ratios are entered,  </t>
  </si>
  <si>
    <t>the distribution amounts will be automatically calculated</t>
  </si>
  <si>
    <t>NOTES: Growth Amount and distibutions are subject to change.  We are still waiting for distribution ratios from DOF.</t>
  </si>
  <si>
    <r>
      <t xml:space="preserve">USED 2012-13 TOTAL </t>
    </r>
    <r>
      <rPr>
        <u val="single"/>
        <sz val="10"/>
        <color indexed="10"/>
        <rFont val="Calibri"/>
        <family val="2"/>
      </rPr>
      <t>RECEIPTS</t>
    </r>
    <r>
      <rPr>
        <sz val="10"/>
        <color indexed="10"/>
        <rFont val="Calibri"/>
        <family val="2"/>
      </rPr>
      <t xml:space="preserve"> DIST RATIO</t>
    </r>
  </si>
  <si>
    <t>SEE BELOW</t>
  </si>
  <si>
    <t>PER SB1020 30029.05</t>
  </si>
  <si>
    <t>PER CFL 12/13-16</t>
  </si>
  <si>
    <t>PER BH WORKBOOK</t>
  </si>
  <si>
    <r>
      <t xml:space="preserve">3. The County Information entered on the Input - BASE page </t>
    </r>
    <r>
      <rPr>
        <u val="single"/>
        <sz val="12"/>
        <color indexed="8"/>
        <rFont val="Times New Roman"/>
        <family val="1"/>
      </rPr>
      <t>automatically changes</t>
    </r>
    <r>
      <rPr>
        <sz val="12"/>
        <color indexed="8"/>
        <rFont val="Times New Roman"/>
        <family val="1"/>
      </rPr>
      <t xml:space="preserve"> the county name on the GROWTH page</t>
    </r>
  </si>
  <si>
    <t>ACTUAL GROWTH</t>
  </si>
  <si>
    <t>ESTIMATED GROWTH BASED ON SW FORECAST</t>
  </si>
  <si>
    <t>The first two sheets (excluding instructions and this page) and the last sheet are the input sheets. The others are all straight up calculations.</t>
  </si>
  <si>
    <t>5. Sources:</t>
  </si>
  <si>
    <r>
      <t xml:space="preserve">3. Entering the </t>
    </r>
    <r>
      <rPr>
        <b/>
        <sz val="12"/>
        <color indexed="12"/>
        <rFont val="Times New Roman"/>
        <family val="1"/>
      </rPr>
      <t>County Name</t>
    </r>
    <r>
      <rPr>
        <sz val="12"/>
        <color indexed="8"/>
        <rFont val="Times New Roman"/>
        <family val="1"/>
      </rPr>
      <t xml:space="preserve"> on cell C2 changes all headers to appropriate county.</t>
    </r>
  </si>
  <si>
    <r>
      <t xml:space="preserve">This also looks up and populates the County percentages based on the </t>
    </r>
    <r>
      <rPr>
        <b/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below the page.</t>
    </r>
  </si>
  <si>
    <r>
      <t xml:space="preserve">4. Each County would need to input the correct </t>
    </r>
    <r>
      <rPr>
        <b/>
        <sz val="12"/>
        <color indexed="12"/>
        <rFont val="Times New Roman"/>
        <family val="1"/>
      </rPr>
      <t>Distribution by Program</t>
    </r>
    <r>
      <rPr>
        <sz val="12"/>
        <color indexed="8"/>
        <rFont val="Times New Roman"/>
        <family val="1"/>
      </rPr>
      <t xml:space="preserve"> specific to their county</t>
    </r>
  </si>
  <si>
    <t xml:space="preserve"> towards the end of the year,  when growth amount and distribution are determined.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</si>
  <si>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>are the required information that need to be populated TWICE: In the beginning of the year AND</t>
    </r>
  </si>
  <si>
    <r>
      <t xml:space="preserve">This also looks up and populates the County percentages based on the </t>
    </r>
    <r>
      <rPr>
        <b/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on the Growth page.</t>
    </r>
  </si>
  <si>
    <r>
      <t xml:space="preserve">4. The </t>
    </r>
    <r>
      <rPr>
        <b/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and </t>
    </r>
    <r>
      <rPr>
        <b/>
        <sz val="12"/>
        <color indexed="12"/>
        <rFont val="Times New Roman"/>
        <family val="1"/>
      </rPr>
      <t>Distribution by Program</t>
    </r>
    <r>
      <rPr>
        <sz val="12"/>
        <color indexed="8"/>
        <rFont val="Times New Roman"/>
        <family val="1"/>
      </rPr>
      <t xml:space="preserve"> will be pure estimates in the beginning of the year. The Growth amount </t>
    </r>
  </si>
  <si>
    <t>at this point will be populated, based on the estimated growth calculation on the Statewide Forecast Model sheet</t>
  </si>
  <si>
    <r>
      <t>5. When the Actual growth amount and distributions are known, the growth amount should be entered on the "</t>
    </r>
    <r>
      <rPr>
        <b/>
        <sz val="12"/>
        <color indexed="12"/>
        <rFont val="Times New Roman"/>
        <family val="1"/>
      </rPr>
      <t>Actual Growth</t>
    </r>
    <r>
      <rPr>
        <sz val="12"/>
        <color indexed="8"/>
        <rFont val="Times New Roman"/>
        <family val="1"/>
      </rPr>
      <t>" column on cell D3</t>
    </r>
  </si>
  <si>
    <r>
      <t xml:space="preserve">6. The </t>
    </r>
    <r>
      <rPr>
        <b/>
        <sz val="12"/>
        <color indexed="12"/>
        <rFont val="Times New Roman"/>
        <family val="1"/>
      </rPr>
      <t>Distributions</t>
    </r>
    <r>
      <rPr>
        <sz val="12"/>
        <color indexed="8"/>
        <rFont val="Times New Roman"/>
        <family val="1"/>
      </rPr>
      <t xml:space="preserve"> should also be changed once the correct growth percentages are known</t>
    </r>
  </si>
  <si>
    <t>7. Sources:</t>
  </si>
  <si>
    <r>
      <t xml:space="preserve">Monthly Receipts Input sheet:  </t>
    </r>
    <r>
      <rPr>
        <b/>
        <sz val="12"/>
        <color indexed="10"/>
        <rFont val="Times New Roman"/>
        <family val="1"/>
      </rPr>
      <t xml:space="preserve">See Monthly Instructions tab for step by step directions </t>
    </r>
  </si>
  <si>
    <r>
      <t xml:space="preserve">3. Enter the correct </t>
    </r>
    <r>
      <rPr>
        <b/>
        <sz val="12"/>
        <color indexed="12"/>
        <rFont val="Times New Roman"/>
        <family val="1"/>
      </rPr>
      <t>MONTH</t>
    </r>
    <r>
      <rPr>
        <sz val="12"/>
        <color indexed="8"/>
        <rFont val="Times New Roman"/>
        <family val="1"/>
      </rPr>
      <t xml:space="preserve"> to calculate the Prop 172/Growth Estimate correctly on the Forecast sheet</t>
    </r>
  </si>
  <si>
    <t>4. The Growth distribution will be populated when the ACTUAL growth is entered at the end of the year</t>
  </si>
  <si>
    <t>2. The Growth distribution will be populated when the ACTUAL growth is entered at the end of the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</si>
</sst>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%"/>
    <numFmt numFmtId="166" formatCode="0.0000000%"/>
    <numFmt numFmtId="167" formatCode="0.0000000000"/>
    <numFmt numFmtId="168" formatCode="#,##0.0_);\(#,##0.0\)"/>
    <numFmt numFmtId="169" formatCode="0.000%"/>
    <numFmt numFmtId="170" formatCode="0.0000%"/>
    <numFmt numFmtId="171" formatCode="0.00000%"/>
    <numFmt numFmtId="172" formatCode="0.000000%"/>
    <numFmt numFmtId="173" formatCode="0.000000000%"/>
    <numFmt numFmtId="174" formatCode="0.0000000000%"/>
    <numFmt numFmtId="175" formatCode="_(* #,##0.000000000_);_(* \(#,##0.000000000\);_(* &quot;-&quot;?????????_);_(@_)"/>
    <numFmt numFmtId="176" formatCode="0.0"/>
    <numFmt numFmtId="177" formatCode="_(* #,##0.00000000_);_(* \(#,##0.00000000\);_(* &quot;-&quot;????????_);_(@_)"/>
    <numFmt numFmtId="178" formatCode="_(* #,##0.0_);_(* \(#,##0.0\);_(* &quot;-&quot;??_);_(@_)"/>
    <numFmt numFmtId="179" formatCode="_(* #,##0_);_(* \(#,##0\);_(* &quot;-&quot;??_);_(@_)"/>
    <numFmt numFmtId="180" formatCode="0.00_);[Red]\(0.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#,##0.000_);[Red]\(#,##0.000\)"/>
    <numFmt numFmtId="189" formatCode="#,##0.0000_);[Red]\(#,##0.0000\)"/>
    <numFmt numFmtId="190" formatCode="_(* #,##0.0000000000_);_(* \(#,##0.0000000000\);_(* &quot;-&quot;??????????_);_(@_)"/>
    <numFmt numFmtId="191" formatCode="#,##0.00000_);[Red]\(#,##0.00000\)"/>
    <numFmt numFmtId="192" formatCode="#,##0.000_);\(#,##0.000\)"/>
    <numFmt numFmtId="193" formatCode="#,##0.0000_);\(#,##0.0000\)"/>
    <numFmt numFmtId="194" formatCode="0.00000000000%"/>
    <numFmt numFmtId="195" formatCode="0.0%"/>
    <numFmt numFmtId="196" formatCode="0.0000000"/>
    <numFmt numFmtId="197" formatCode="0.000000"/>
    <numFmt numFmtId="198" formatCode="0.00000000"/>
    <numFmt numFmtId="199" formatCode="0.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&quot;$&quot;* #,##0.0_);_(&quot;$&quot;* \(#,##0.0\);_(&quot;$&quot;* &quot;-&quot;??_);_(@_)"/>
    <numFmt numFmtId="205" formatCode="#,##0.0_);[Red]\(#,##0.0\)"/>
    <numFmt numFmtId="206" formatCode="0.00000"/>
    <numFmt numFmtId="207" formatCode="0_);[Red]\(0\)"/>
    <numFmt numFmtId="208" formatCode="0.0_);[Red]\(0.0\)"/>
    <numFmt numFmtId="209" formatCode="0.0000_);[Red]\(0.0000\)"/>
    <numFmt numFmtId="210" formatCode="_(* #,##0.0000_);_(* \(#,##0.0000\);_(* &quot;-&quot;????_);_(@_)"/>
    <numFmt numFmtId="211" formatCode="0.000"/>
    <numFmt numFmtId="212" formatCode="_(* #,##0.000_);_(* \(#,##0.000\);_(* &quot;-&quot;???_);_(@_)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i/>
      <sz val="11"/>
      <color indexed="55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2"/>
      <color indexed="10"/>
      <name val="Times New Roman"/>
      <family val="1"/>
    </font>
    <font>
      <u val="single"/>
      <sz val="10"/>
      <color indexed="10"/>
      <name val="Arial"/>
      <family val="0"/>
    </font>
    <font>
      <i/>
      <sz val="10"/>
      <color indexed="12"/>
      <name val="Calibri"/>
      <family val="2"/>
    </font>
    <font>
      <b/>
      <i/>
      <sz val="11"/>
      <color indexed="23"/>
      <name val="Calibri"/>
      <family val="2"/>
    </font>
    <font>
      <i/>
      <sz val="10"/>
      <color indexed="55"/>
      <name val="Arial"/>
      <family val="2"/>
    </font>
    <font>
      <i/>
      <sz val="10"/>
      <color indexed="55"/>
      <name val="Calibri"/>
      <family val="2"/>
    </font>
    <font>
      <i/>
      <sz val="10"/>
      <color indexed="23"/>
      <name val="Arial"/>
      <family val="0"/>
    </font>
    <font>
      <b/>
      <i/>
      <sz val="9"/>
      <color indexed="23"/>
      <name val="Calibri"/>
      <family val="2"/>
    </font>
    <font>
      <b/>
      <sz val="8"/>
      <color indexed="12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i/>
      <sz val="9"/>
      <color indexed="23"/>
      <name val="Calibri"/>
      <family val="2"/>
    </font>
    <font>
      <b/>
      <sz val="12"/>
      <color indexed="8"/>
      <name val="Times New Roman"/>
      <family val="1"/>
    </font>
    <font>
      <sz val="9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Calibri"/>
      <family val="2"/>
    </font>
    <font>
      <u val="single"/>
      <sz val="11"/>
      <color indexed="12"/>
      <name val="Arial"/>
      <family val="0"/>
    </font>
    <font>
      <i/>
      <sz val="11"/>
      <color indexed="23"/>
      <name val="Arial"/>
      <family val="0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i/>
      <sz val="10"/>
      <color indexed="4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thin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/>
      <right style="medium"/>
      <top/>
      <bottom style="hair"/>
    </border>
    <border>
      <left/>
      <right/>
      <top style="medium"/>
      <bottom style="hair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64" fontId="15" fillId="20" borderId="10" xfId="44" applyNumberFormat="1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165" fontId="0" fillId="0" borderId="12" xfId="59" applyNumberFormat="1" applyFont="1" applyBorder="1" applyAlignment="1">
      <alignment horizontal="right" vertical="center"/>
    </xf>
    <xf numFmtId="164" fontId="0" fillId="0" borderId="12" xfId="44" applyNumberFormat="1" applyFont="1" applyFill="1" applyBorder="1" applyAlignment="1">
      <alignment horizontal="left" vertical="center" wrapText="1"/>
    </xf>
    <xf numFmtId="38" fontId="0" fillId="0" borderId="12" xfId="44" applyNumberFormat="1" applyFont="1" applyFill="1" applyBorder="1" applyAlignment="1">
      <alignment/>
    </xf>
    <xf numFmtId="38" fontId="0" fillId="0" borderId="13" xfId="0" applyNumberFormat="1" applyBorder="1" applyAlignment="1">
      <alignment horizontal="right" vertical="center" wrapText="1"/>
    </xf>
    <xf numFmtId="38" fontId="0" fillId="0" borderId="14" xfId="44" applyNumberFormat="1" applyFont="1" applyFill="1" applyBorder="1" applyAlignment="1">
      <alignment/>
    </xf>
    <xf numFmtId="38" fontId="0" fillId="0" borderId="15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0" fillId="21" borderId="0" xfId="0" applyNumberFormat="1" applyFill="1" applyAlignment="1">
      <alignment/>
    </xf>
    <xf numFmtId="38" fontId="0" fillId="0" borderId="0" xfId="0" applyNumberFormat="1" applyAlignment="1">
      <alignment horizontal="right" vertical="center" wrapText="1"/>
    </xf>
    <xf numFmtId="167" fontId="0" fillId="21" borderId="16" xfId="0" applyNumberFormat="1" applyFill="1" applyBorder="1" applyAlignment="1">
      <alignment/>
    </xf>
    <xf numFmtId="167" fontId="0" fillId="0" borderId="0" xfId="0" applyNumberFormat="1" applyAlignment="1">
      <alignment horizontal="left" vertical="center" wrapText="1"/>
    </xf>
    <xf numFmtId="38" fontId="1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164" fontId="15" fillId="0" borderId="17" xfId="44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64" fontId="15" fillId="8" borderId="17" xfId="44" applyNumberFormat="1" applyFont="1" applyFill="1" applyBorder="1" applyAlignment="1">
      <alignment horizontal="center" vertical="center" wrapText="1"/>
    </xf>
    <xf numFmtId="164" fontId="15" fillId="8" borderId="18" xfId="44" applyNumberFormat="1" applyFont="1" applyFill="1" applyBorder="1" applyAlignment="1">
      <alignment horizontal="center" vertical="center" wrapText="1"/>
    </xf>
    <xf numFmtId="0" fontId="0" fillId="8" borderId="19" xfId="0" applyFill="1" applyBorder="1" applyAlignment="1">
      <alignment/>
    </xf>
    <xf numFmtId="0" fontId="0" fillId="8" borderId="11" xfId="0" applyFill="1" applyBorder="1" applyAlignment="1">
      <alignment/>
    </xf>
    <xf numFmtId="164" fontId="0" fillId="0" borderId="20" xfId="44" applyNumberFormat="1" applyFont="1" applyBorder="1" applyAlignment="1">
      <alignment horizontal="left" vertical="center" wrapText="1"/>
    </xf>
    <xf numFmtId="40" fontId="15" fillId="0" borderId="21" xfId="0" applyNumberFormat="1" applyFont="1" applyBorder="1" applyAlignment="1">
      <alignment horizontal="right" vertical="center" wrapText="1"/>
    </xf>
    <xf numFmtId="40" fontId="15" fillId="0" borderId="22" xfId="0" applyNumberFormat="1" applyFont="1" applyBorder="1" applyAlignment="1">
      <alignment horizontal="right" vertical="center" wrapText="1"/>
    </xf>
    <xf numFmtId="0" fontId="0" fillId="20" borderId="0" xfId="0" applyFill="1" applyAlignment="1">
      <alignment/>
    </xf>
    <xf numFmtId="167" fontId="0" fillId="2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 wrapTex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164" fontId="15" fillId="8" borderId="24" xfId="44" applyNumberFormat="1" applyFont="1" applyFill="1" applyBorder="1" applyAlignment="1">
      <alignment horizontal="center" vertical="center" wrapText="1"/>
    </xf>
    <xf numFmtId="164" fontId="0" fillId="0" borderId="26" xfId="44" applyNumberFormat="1" applyFont="1" applyFill="1" applyBorder="1" applyAlignment="1">
      <alignment horizontal="left" vertical="center" wrapText="1"/>
    </xf>
    <xf numFmtId="38" fontId="0" fillId="0" borderId="27" xfId="44" applyNumberFormat="1" applyFont="1" applyFill="1" applyBorder="1" applyAlignment="1">
      <alignment/>
    </xf>
    <xf numFmtId="38" fontId="0" fillId="0" borderId="28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40" fontId="15" fillId="0" borderId="29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165" fontId="0" fillId="0" borderId="24" xfId="0" applyNumberFormat="1" applyBorder="1" applyAlignment="1">
      <alignment/>
    </xf>
    <xf numFmtId="164" fontId="0" fillId="0" borderId="24" xfId="0" applyNumberFormat="1" applyBorder="1" applyAlignment="1">
      <alignment horizontal="left" vertical="center" wrapText="1"/>
    </xf>
    <xf numFmtId="40" fontId="22" fillId="0" borderId="19" xfId="0" applyNumberFormat="1" applyFont="1" applyBorder="1" applyAlignment="1">
      <alignment/>
    </xf>
    <xf numFmtId="40" fontId="22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179" fontId="0" fillId="0" borderId="24" xfId="0" applyNumberForma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164" fontId="0" fillId="0" borderId="24" xfId="0" applyNumberFormat="1" applyBorder="1" applyAlignment="1">
      <alignment/>
    </xf>
    <xf numFmtId="40" fontId="20" fillId="0" borderId="24" xfId="0" applyNumberFormat="1" applyFont="1" applyBorder="1" applyAlignment="1">
      <alignment/>
    </xf>
    <xf numFmtId="40" fontId="20" fillId="0" borderId="25" xfId="0" applyNumberFormat="1" applyFont="1" applyBorder="1" applyAlignment="1">
      <alignment/>
    </xf>
    <xf numFmtId="37" fontId="0" fillId="0" borderId="24" xfId="42" applyNumberFormat="1" applyBorder="1" applyAlignment="1">
      <alignment/>
    </xf>
    <xf numFmtId="39" fontId="0" fillId="0" borderId="24" xfId="42" applyNumberFormat="1" applyBorder="1" applyAlignment="1">
      <alignment/>
    </xf>
    <xf numFmtId="37" fontId="0" fillId="0" borderId="25" xfId="42" applyNumberFormat="1" applyBorder="1" applyAlignment="1">
      <alignment/>
    </xf>
    <xf numFmtId="164" fontId="18" fillId="2" borderId="23" xfId="44" applyNumberFormat="1" applyFont="1" applyFill="1" applyBorder="1" applyAlignment="1">
      <alignment/>
    </xf>
    <xf numFmtId="164" fontId="18" fillId="2" borderId="24" xfId="44" applyNumberFormat="1" applyFont="1" applyFill="1" applyBorder="1" applyAlignment="1">
      <alignment/>
    </xf>
    <xf numFmtId="37" fontId="0" fillId="2" borderId="24" xfId="42" applyNumberFormat="1" applyFill="1" applyBorder="1" applyAlignment="1">
      <alignment/>
    </xf>
    <xf numFmtId="39" fontId="0" fillId="2" borderId="24" xfId="42" applyNumberFormat="1" applyFill="1" applyBorder="1" applyAlignment="1">
      <alignment/>
    </xf>
    <xf numFmtId="39" fontId="20" fillId="2" borderId="24" xfId="42" applyNumberFormat="1" applyFont="1" applyFill="1" applyBorder="1" applyAlignment="1">
      <alignment/>
    </xf>
    <xf numFmtId="39" fontId="20" fillId="2" borderId="25" xfId="42" applyNumberFormat="1" applyFont="1" applyFill="1" applyBorder="1" applyAlignment="1">
      <alignment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ill="1" applyBorder="1" applyAlignment="1">
      <alignment/>
    </xf>
    <xf numFmtId="39" fontId="0" fillId="2" borderId="0" xfId="42" applyNumberFormat="1" applyFill="1" applyBorder="1" applyAlignment="1">
      <alignment/>
    </xf>
    <xf numFmtId="39" fontId="20" fillId="2" borderId="0" xfId="42" applyNumberFormat="1" applyFont="1" applyFill="1" applyBorder="1" applyAlignment="1">
      <alignment/>
    </xf>
    <xf numFmtId="39" fontId="20" fillId="2" borderId="30" xfId="42" applyNumberFormat="1" applyFont="1" applyFill="1" applyBorder="1" applyAlignment="1">
      <alignment/>
    </xf>
    <xf numFmtId="164" fontId="0" fillId="2" borderId="31" xfId="44" applyNumberFormat="1" applyFont="1" applyFill="1" applyBorder="1" applyAlignment="1">
      <alignment/>
    </xf>
    <xf numFmtId="173" fontId="0" fillId="2" borderId="24" xfId="59" applyNumberFormat="1" applyFont="1" applyFill="1" applyBorder="1" applyAlignment="1">
      <alignment vertical="top" wrapText="1"/>
    </xf>
    <xf numFmtId="37" fontId="0" fillId="2" borderId="25" xfId="42" applyNumberFormat="1" applyFill="1" applyBorder="1" applyAlignment="1">
      <alignment/>
    </xf>
    <xf numFmtId="179" fontId="20" fillId="0" borderId="24" xfId="0" applyNumberFormat="1" applyFont="1" applyBorder="1" applyAlignment="1">
      <alignment/>
    </xf>
    <xf numFmtId="179" fontId="2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180" fontId="27" fillId="24" borderId="0" xfId="0" applyNumberFormat="1" applyFont="1" applyFill="1" applyBorder="1" applyAlignment="1">
      <alignment horizontal="center"/>
    </xf>
    <xf numFmtId="173" fontId="27" fillId="24" borderId="0" xfId="0" applyNumberFormat="1" applyFont="1" applyFill="1" applyBorder="1" applyAlignment="1">
      <alignment horizontal="center"/>
    </xf>
    <xf numFmtId="180" fontId="27" fillId="24" borderId="0" xfId="0" applyNumberFormat="1" applyFont="1" applyFill="1" applyBorder="1" applyAlignment="1">
      <alignment horizontal="right"/>
    </xf>
    <xf numFmtId="180" fontId="28" fillId="24" borderId="32" xfId="0" applyNumberFormat="1" applyFont="1" applyFill="1" applyBorder="1" applyAlignment="1">
      <alignment horizontal="left"/>
    </xf>
    <xf numFmtId="180" fontId="26" fillId="24" borderId="32" xfId="0" applyNumberFormat="1" applyFont="1" applyFill="1" applyBorder="1" applyAlignment="1">
      <alignment horizontal="center"/>
    </xf>
    <xf numFmtId="180" fontId="26" fillId="24" borderId="33" xfId="0" applyNumberFormat="1" applyFont="1" applyFill="1" applyBorder="1" applyAlignment="1">
      <alignment horizontal="center"/>
    </xf>
    <xf numFmtId="180" fontId="26" fillId="24" borderId="34" xfId="0" applyNumberFormat="1" applyFont="1" applyFill="1" applyBorder="1" applyAlignment="1">
      <alignment horizontal="center"/>
    </xf>
    <xf numFmtId="180" fontId="29" fillId="24" borderId="31" xfId="0" applyNumberFormat="1" applyFont="1" applyFill="1" applyBorder="1" applyAlignment="1">
      <alignment horizontal="right"/>
    </xf>
    <xf numFmtId="180" fontId="27" fillId="24" borderId="30" xfId="0" applyNumberFormat="1" applyFont="1" applyFill="1" applyBorder="1" applyAlignment="1">
      <alignment horizontal="right"/>
    </xf>
    <xf numFmtId="180" fontId="26" fillId="24" borderId="35" xfId="0" applyNumberFormat="1" applyFont="1" applyFill="1" applyBorder="1" applyAlignment="1">
      <alignment horizontal="right"/>
    </xf>
    <xf numFmtId="173" fontId="27" fillId="24" borderId="36" xfId="0" applyNumberFormat="1" applyFont="1" applyFill="1" applyBorder="1" applyAlignment="1">
      <alignment horizontal="right"/>
    </xf>
    <xf numFmtId="180" fontId="29" fillId="24" borderId="37" xfId="0" applyNumberFormat="1" applyFont="1" applyFill="1" applyBorder="1" applyAlignment="1">
      <alignment horizontal="right"/>
    </xf>
    <xf numFmtId="173" fontId="27" fillId="24" borderId="16" xfId="0" applyNumberFormat="1" applyFont="1" applyFill="1" applyBorder="1" applyAlignment="1">
      <alignment horizontal="center"/>
    </xf>
    <xf numFmtId="180" fontId="27" fillId="24" borderId="16" xfId="0" applyNumberFormat="1" applyFont="1" applyFill="1" applyBorder="1" applyAlignment="1">
      <alignment horizontal="right"/>
    </xf>
    <xf numFmtId="180" fontId="27" fillId="24" borderId="38" xfId="0" applyNumberFormat="1" applyFont="1" applyFill="1" applyBorder="1" applyAlignment="1">
      <alignment horizontal="right"/>
    </xf>
    <xf numFmtId="180" fontId="27" fillId="24" borderId="36" xfId="0" applyNumberFormat="1" applyFont="1" applyFill="1" applyBorder="1" applyAlignment="1">
      <alignment horizontal="right"/>
    </xf>
    <xf numFmtId="180" fontId="27" fillId="24" borderId="39" xfId="0" applyNumberFormat="1" applyFont="1" applyFill="1" applyBorder="1" applyAlignment="1">
      <alignment horizontal="right"/>
    </xf>
    <xf numFmtId="164" fontId="21" fillId="2" borderId="23" xfId="44" applyNumberFormat="1" applyFont="1" applyFill="1" applyBorder="1" applyAlignment="1">
      <alignment horizontal="right"/>
    </xf>
    <xf numFmtId="40" fontId="15" fillId="0" borderId="17" xfId="0" applyNumberFormat="1" applyFont="1" applyBorder="1" applyAlignment="1">
      <alignment horizontal="right" vertical="center" wrapText="1"/>
    </xf>
    <xf numFmtId="187" fontId="0" fillId="0" borderId="0" xfId="0" applyNumberFormat="1" applyAlignment="1">
      <alignment/>
    </xf>
    <xf numFmtId="0" fontId="23" fillId="0" borderId="40" xfId="53" applyBorder="1" applyAlignment="1" applyProtection="1">
      <alignment horizontal="left" vertical="center" wrapText="1"/>
      <protection/>
    </xf>
    <xf numFmtId="0" fontId="30" fillId="8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 vertical="center" wrapText="1"/>
    </xf>
    <xf numFmtId="40" fontId="15" fillId="0" borderId="0" xfId="0" applyNumberFormat="1" applyFont="1" applyBorder="1" applyAlignment="1">
      <alignment horizontal="right" vertical="center" wrapText="1"/>
    </xf>
    <xf numFmtId="40" fontId="22" fillId="0" borderId="0" xfId="0" applyNumberFormat="1" applyFont="1" applyBorder="1" applyAlignment="1">
      <alignment/>
    </xf>
    <xf numFmtId="0" fontId="23" fillId="0" borderId="21" xfId="53" applyFont="1" applyBorder="1" applyAlignment="1" applyProtection="1">
      <alignment horizontal="left" vertical="center" wrapText="1"/>
      <protection/>
    </xf>
    <xf numFmtId="0" fontId="23" fillId="0" borderId="22" xfId="53" applyFont="1" applyBorder="1" applyAlignment="1" applyProtection="1">
      <alignment horizontal="left" vertical="center" wrapText="1"/>
      <protection/>
    </xf>
    <xf numFmtId="0" fontId="23" fillId="0" borderId="29" xfId="53" applyFont="1" applyBorder="1" applyAlignment="1" applyProtection="1">
      <alignment horizontal="left" vertical="center" wrapText="1"/>
      <protection/>
    </xf>
    <xf numFmtId="164" fontId="15" fillId="5" borderId="17" xfId="44" applyNumberFormat="1" applyFont="1" applyFill="1" applyBorder="1" applyAlignment="1">
      <alignment horizontal="center" vertical="center" wrapText="1"/>
    </xf>
    <xf numFmtId="164" fontId="15" fillId="5" borderId="18" xfId="44" applyNumberFormat="1" applyFont="1" applyFill="1" applyBorder="1" applyAlignment="1">
      <alignment horizontal="center" vertical="center" wrapText="1"/>
    </xf>
    <xf numFmtId="164" fontId="15" fillId="5" borderId="24" xfId="44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0" fontId="0" fillId="5" borderId="11" xfId="0" applyFill="1" applyBorder="1" applyAlignment="1">
      <alignment/>
    </xf>
    <xf numFmtId="164" fontId="15" fillId="25" borderId="17" xfId="44" applyNumberFormat="1" applyFont="1" applyFill="1" applyBorder="1" applyAlignment="1">
      <alignment horizontal="center" vertical="center" wrapText="1"/>
    </xf>
    <xf numFmtId="164" fontId="15" fillId="25" borderId="18" xfId="44" applyNumberFormat="1" applyFont="1" applyFill="1" applyBorder="1" applyAlignment="1">
      <alignment horizontal="center" vertical="center" wrapText="1"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0" fontId="23" fillId="0" borderId="31" xfId="53" applyBorder="1" applyAlignment="1" applyProtection="1">
      <alignment/>
      <protection/>
    </xf>
    <xf numFmtId="0" fontId="23" fillId="0" borderId="41" xfId="53" applyBorder="1" applyAlignment="1" applyProtection="1">
      <alignment/>
      <protection/>
    </xf>
    <xf numFmtId="189" fontId="15" fillId="0" borderId="0" xfId="0" applyNumberFormat="1" applyFont="1" applyBorder="1" applyAlignment="1">
      <alignment horizontal="right" vertical="center" wrapText="1"/>
    </xf>
    <xf numFmtId="164" fontId="15" fillId="25" borderId="42" xfId="44" applyNumberFormat="1" applyFont="1" applyFill="1" applyBorder="1" applyAlignment="1">
      <alignment horizontal="center" vertical="center" wrapText="1"/>
    </xf>
    <xf numFmtId="40" fontId="15" fillId="0" borderId="42" xfId="0" applyNumberFormat="1" applyFont="1" applyBorder="1" applyAlignment="1">
      <alignment horizontal="right" vertical="center" wrapText="1"/>
    </xf>
    <xf numFmtId="164" fontId="15" fillId="25" borderId="25" xfId="44" applyNumberFormat="1" applyFont="1" applyFill="1" applyBorder="1" applyAlignment="1">
      <alignment horizontal="center" vertical="center" wrapText="1"/>
    </xf>
    <xf numFmtId="164" fontId="0" fillId="0" borderId="43" xfId="44" applyNumberFormat="1" applyFont="1" applyBorder="1" applyAlignment="1">
      <alignment horizontal="left" vertical="center" wrapText="1"/>
    </xf>
    <xf numFmtId="164" fontId="0" fillId="0" borderId="25" xfId="0" applyNumberFormat="1" applyBorder="1" applyAlignment="1">
      <alignment horizontal="left" vertical="center" wrapText="1"/>
    </xf>
    <xf numFmtId="191" fontId="15" fillId="0" borderId="0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3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8" fontId="0" fillId="0" borderId="13" xfId="0" applyNumberFormat="1" applyBorder="1" applyAlignment="1">
      <alignment horizontal="right" vertical="center" wrapText="1"/>
    </xf>
    <xf numFmtId="0" fontId="0" fillId="25" borderId="25" xfId="0" applyFill="1" applyBorder="1" applyAlignment="1">
      <alignment horizontal="left" vertical="center" wrapText="1"/>
    </xf>
    <xf numFmtId="0" fontId="15" fillId="20" borderId="10" xfId="0" applyFont="1" applyFill="1" applyBorder="1" applyAlignment="1">
      <alignment horizontal="center" vertical="center" wrapText="1"/>
    </xf>
    <xf numFmtId="164" fontId="0" fillId="0" borderId="44" xfId="44" applyNumberFormat="1" applyFont="1" applyBorder="1" applyAlignment="1">
      <alignment horizontal="left" vertical="center" wrapText="1"/>
    </xf>
    <xf numFmtId="0" fontId="23" fillId="0" borderId="45" xfId="53" applyFont="1" applyBorder="1" applyAlignment="1" applyProtection="1">
      <alignment horizontal="left" vertical="center" wrapText="1"/>
      <protection/>
    </xf>
    <xf numFmtId="164" fontId="0" fillId="0" borderId="46" xfId="44" applyNumberFormat="1" applyFont="1" applyBorder="1" applyAlignment="1">
      <alignment horizontal="left" vertical="center" wrapText="1"/>
    </xf>
    <xf numFmtId="0" fontId="23" fillId="0" borderId="47" xfId="53" applyBorder="1" applyAlignment="1" applyProtection="1">
      <alignment horizontal="left" vertical="center" wrapText="1"/>
      <protection/>
    </xf>
    <xf numFmtId="39" fontId="33" fillId="0" borderId="24" xfId="42" applyNumberFormat="1" applyFont="1" applyBorder="1" applyAlignment="1">
      <alignment/>
    </xf>
    <xf numFmtId="39" fontId="33" fillId="0" borderId="25" xfId="42" applyNumberFormat="1" applyFont="1" applyBorder="1" applyAlignment="1">
      <alignment/>
    </xf>
    <xf numFmtId="179" fontId="0" fillId="0" borderId="0" xfId="0" applyNumberFormat="1" applyAlignment="1">
      <alignment horizontal="left" vertical="center" wrapText="1"/>
    </xf>
    <xf numFmtId="0" fontId="0" fillId="8" borderId="31" xfId="0" applyFill="1" applyBorder="1" applyAlignment="1">
      <alignment horizontal="left" vertical="center" wrapText="1"/>
    </xf>
    <xf numFmtId="0" fontId="0" fillId="8" borderId="30" xfId="0" applyFill="1" applyBorder="1" applyAlignment="1">
      <alignment horizontal="left" vertical="center" wrapText="1"/>
    </xf>
    <xf numFmtId="0" fontId="0" fillId="8" borderId="25" xfId="0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0" fontId="31" fillId="0" borderId="48" xfId="0" applyNumberFormat="1" applyFont="1" applyFill="1" applyBorder="1" applyAlignment="1">
      <alignment/>
    </xf>
    <xf numFmtId="40" fontId="31" fillId="0" borderId="49" xfId="0" applyNumberFormat="1" applyFont="1" applyFill="1" applyBorder="1" applyAlignment="1">
      <alignment/>
    </xf>
    <xf numFmtId="40" fontId="31" fillId="0" borderId="12" xfId="0" applyNumberFormat="1" applyFont="1" applyFill="1" applyBorder="1" applyAlignment="1">
      <alignment/>
    </xf>
    <xf numFmtId="40" fontId="31" fillId="0" borderId="13" xfId="0" applyNumberFormat="1" applyFont="1" applyFill="1" applyBorder="1" applyAlignment="1">
      <alignment/>
    </xf>
    <xf numFmtId="40" fontId="31" fillId="0" borderId="50" xfId="0" applyNumberFormat="1" applyFont="1" applyFill="1" applyBorder="1" applyAlignment="1">
      <alignment/>
    </xf>
    <xf numFmtId="40" fontId="31" fillId="0" borderId="51" xfId="0" applyNumberFormat="1" applyFont="1" applyFill="1" applyBorder="1" applyAlignment="1">
      <alignment/>
    </xf>
    <xf numFmtId="40" fontId="31" fillId="0" borderId="12" xfId="0" applyNumberFormat="1" applyFont="1" applyBorder="1" applyAlignment="1">
      <alignment/>
    </xf>
    <xf numFmtId="40" fontId="31" fillId="0" borderId="13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25" borderId="52" xfId="0" applyFill="1" applyBorder="1" applyAlignment="1">
      <alignment horizontal="left" vertical="center" wrapText="1"/>
    </xf>
    <xf numFmtId="0" fontId="0" fillId="25" borderId="53" xfId="0" applyFill="1" applyBorder="1" applyAlignment="1">
      <alignment horizontal="left" vertical="center" wrapText="1"/>
    </xf>
    <xf numFmtId="164" fontId="15" fillId="8" borderId="23" xfId="44" applyNumberFormat="1" applyFont="1" applyFill="1" applyBorder="1" applyAlignment="1">
      <alignment horizontal="center" vertical="center" wrapText="1"/>
    </xf>
    <xf numFmtId="0" fontId="15" fillId="20" borderId="54" xfId="0" applyFont="1" applyFill="1" applyBorder="1" applyAlignment="1">
      <alignment horizontal="center" vertical="center" wrapText="1"/>
    </xf>
    <xf numFmtId="0" fontId="15" fillId="20" borderId="55" xfId="0" applyFont="1" applyFill="1" applyBorder="1" applyAlignment="1">
      <alignment horizontal="center" vertical="center" wrapText="1"/>
    </xf>
    <xf numFmtId="0" fontId="15" fillId="20" borderId="56" xfId="0" applyFont="1" applyFill="1" applyBorder="1" applyAlignment="1">
      <alignment horizontal="center" vertical="center" wrapText="1"/>
    </xf>
    <xf numFmtId="164" fontId="0" fillId="0" borderId="57" xfId="44" applyNumberFormat="1" applyFont="1" applyBorder="1" applyAlignment="1">
      <alignment horizontal="left" vertical="center" wrapText="1"/>
    </xf>
    <xf numFmtId="165" fontId="0" fillId="0" borderId="12" xfId="59" applyNumberFormat="1" applyFont="1" applyBorder="1" applyAlignment="1">
      <alignment horizontal="right" vertical="center"/>
    </xf>
    <xf numFmtId="164" fontId="0" fillId="0" borderId="12" xfId="44" applyNumberFormat="1" applyFont="1" applyFill="1" applyBorder="1" applyAlignment="1">
      <alignment horizontal="left" vertical="center" wrapText="1"/>
    </xf>
    <xf numFmtId="38" fontId="0" fillId="0" borderId="12" xfId="44" applyNumberFormat="1" applyFont="1" applyFill="1" applyBorder="1" applyAlignment="1">
      <alignment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164" fontId="15" fillId="25" borderId="23" xfId="44" applyNumberFormat="1" applyFont="1" applyFill="1" applyBorder="1" applyAlignment="1">
      <alignment horizontal="center" vertical="center" wrapText="1"/>
    </xf>
    <xf numFmtId="164" fontId="0" fillId="0" borderId="57" xfId="44" applyNumberFormat="1" applyFont="1" applyBorder="1" applyAlignment="1">
      <alignment horizontal="left" vertical="center" wrapText="1"/>
    </xf>
    <xf numFmtId="0" fontId="15" fillId="25" borderId="23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15" fillId="25" borderId="25" xfId="0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40" fontId="0" fillId="0" borderId="0" xfId="0" applyNumberFormat="1" applyFill="1" applyBorder="1" applyAlignment="1">
      <alignment horizontal="right" vertical="center" wrapText="1"/>
    </xf>
    <xf numFmtId="40" fontId="15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8" borderId="10" xfId="0" applyFont="1" applyFill="1" applyBorder="1" applyAlignment="1">
      <alignment vertical="center" wrapText="1"/>
    </xf>
    <xf numFmtId="0" fontId="35" fillId="8" borderId="10" xfId="0" applyFont="1" applyFill="1" applyBorder="1" applyAlignment="1">
      <alignment horizontal="left" vertical="center"/>
    </xf>
    <xf numFmtId="179" fontId="15" fillId="0" borderId="11" xfId="0" applyNumberFormat="1" applyFont="1" applyBorder="1" applyAlignment="1">
      <alignment horizontal="right" vertical="center" wrapText="1"/>
    </xf>
    <xf numFmtId="164" fontId="0" fillId="0" borderId="49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170" fontId="35" fillId="0" borderId="0" xfId="59" applyNumberFormat="1" applyFont="1" applyFill="1" applyBorder="1" applyAlignment="1">
      <alignment vertical="center" wrapText="1"/>
    </xf>
    <xf numFmtId="197" fontId="32" fillId="0" borderId="10" xfId="0" applyNumberFormat="1" applyFont="1" applyBorder="1" applyAlignment="1">
      <alignment horizontal="left" vertical="center" wrapText="1"/>
    </xf>
    <xf numFmtId="170" fontId="0" fillId="0" borderId="25" xfId="0" applyNumberFormat="1" applyBorder="1" applyAlignment="1">
      <alignment horizontal="left" vertical="center" wrapText="1"/>
    </xf>
    <xf numFmtId="0" fontId="0" fillId="8" borderId="52" xfId="0" applyFill="1" applyBorder="1" applyAlignment="1">
      <alignment horizontal="left" vertical="center" wrapText="1"/>
    </xf>
    <xf numFmtId="0" fontId="0" fillId="8" borderId="53" xfId="0" applyFill="1" applyBorder="1" applyAlignment="1">
      <alignment horizontal="left" vertical="center" wrapText="1"/>
    </xf>
    <xf numFmtId="173" fontId="15" fillId="0" borderId="58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179" fontId="0" fillId="0" borderId="15" xfId="0" applyNumberFormat="1" applyBorder="1" applyAlignment="1">
      <alignment horizontal="left" vertical="center" wrapText="1"/>
    </xf>
    <xf numFmtId="179" fontId="0" fillId="0" borderId="59" xfId="0" applyNumberFormat="1" applyBorder="1" applyAlignment="1">
      <alignment horizontal="left" vertical="center" wrapText="1"/>
    </xf>
    <xf numFmtId="0" fontId="0" fillId="8" borderId="52" xfId="0" applyFont="1" applyFill="1" applyBorder="1" applyAlignment="1">
      <alignment/>
    </xf>
    <xf numFmtId="0" fontId="0" fillId="8" borderId="26" xfId="0" applyFill="1" applyBorder="1" applyAlignment="1">
      <alignment wrapText="1"/>
    </xf>
    <xf numFmtId="0" fontId="0" fillId="0" borderId="47" xfId="0" applyBorder="1" applyAlignment="1">
      <alignment/>
    </xf>
    <xf numFmtId="179" fontId="0" fillId="0" borderId="49" xfId="0" applyNumberFormat="1" applyBorder="1" applyAlignment="1">
      <alignment horizontal="left" vertical="center" wrapText="1"/>
    </xf>
    <xf numFmtId="0" fontId="0" fillId="0" borderId="45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164" fontId="15" fillId="0" borderId="42" xfId="0" applyNumberFormat="1" applyFont="1" applyBorder="1" applyAlignment="1">
      <alignment horizontal="left" vertical="center" wrapText="1"/>
    </xf>
    <xf numFmtId="164" fontId="15" fillId="0" borderId="42" xfId="0" applyNumberFormat="1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166" fontId="15" fillId="0" borderId="50" xfId="0" applyNumberFormat="1" applyFont="1" applyBorder="1" applyAlignment="1">
      <alignment horizontal="right" vertical="center" wrapText="1"/>
    </xf>
    <xf numFmtId="179" fontId="15" fillId="0" borderId="51" xfId="0" applyNumberFormat="1" applyFont="1" applyBorder="1" applyAlignment="1">
      <alignment horizontal="left" vertical="center" wrapText="1"/>
    </xf>
    <xf numFmtId="164" fontId="15" fillId="20" borderId="60" xfId="44" applyNumberFormat="1" applyFont="1" applyFill="1" applyBorder="1" applyAlignment="1">
      <alignment horizontal="center" vertical="center" wrapText="1"/>
    </xf>
    <xf numFmtId="0" fontId="15" fillId="20" borderId="60" xfId="0" applyFont="1" applyFill="1" applyBorder="1" applyAlignment="1">
      <alignment horizontal="center" vertical="center" wrapText="1"/>
    </xf>
    <xf numFmtId="0" fontId="0" fillId="8" borderId="58" xfId="0" applyFont="1" applyFill="1" applyBorder="1" applyAlignment="1">
      <alignment/>
    </xf>
    <xf numFmtId="0" fontId="0" fillId="8" borderId="50" xfId="0" applyFill="1" applyBorder="1" applyAlignment="1">
      <alignment wrapText="1"/>
    </xf>
    <xf numFmtId="0" fontId="0" fillId="8" borderId="51" xfId="0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Fill="1" applyBorder="1" applyAlignment="1">
      <alignment horizontal="left" vertical="top" wrapText="1"/>
    </xf>
    <xf numFmtId="179" fontId="0" fillId="0" borderId="63" xfId="0" applyNumberFormat="1" applyBorder="1" applyAlignment="1">
      <alignment/>
    </xf>
    <xf numFmtId="43" fontId="20" fillId="0" borderId="24" xfId="0" applyNumberFormat="1" applyFont="1" applyBorder="1" applyAlignment="1">
      <alignment/>
    </xf>
    <xf numFmtId="43" fontId="20" fillId="0" borderId="25" xfId="0" applyNumberFormat="1" applyFont="1" applyBorder="1" applyAlignment="1">
      <alignment/>
    </xf>
    <xf numFmtId="165" fontId="0" fillId="0" borderId="24" xfId="59" applyNumberFormat="1" applyFont="1" applyBorder="1" applyAlignment="1">
      <alignment/>
    </xf>
    <xf numFmtId="179" fontId="0" fillId="0" borderId="64" xfId="0" applyNumberFormat="1" applyBorder="1" applyAlignment="1">
      <alignment horizontal="left" vertical="center" wrapText="1"/>
    </xf>
    <xf numFmtId="166" fontId="15" fillId="0" borderId="17" xfId="0" applyNumberFormat="1" applyFont="1" applyBorder="1" applyAlignment="1">
      <alignment horizontal="right" vertical="center" wrapText="1"/>
    </xf>
    <xf numFmtId="179" fontId="15" fillId="0" borderId="11" xfId="0" applyNumberFormat="1" applyFont="1" applyBorder="1" applyAlignment="1">
      <alignment horizontal="left" vertical="center" wrapText="1"/>
    </xf>
    <xf numFmtId="173" fontId="15" fillId="0" borderId="50" xfId="0" applyNumberFormat="1" applyFont="1" applyBorder="1" applyAlignment="1">
      <alignment horizontal="right" vertical="center" wrapText="1"/>
    </xf>
    <xf numFmtId="0" fontId="23" fillId="0" borderId="41" xfId="53" applyFont="1" applyBorder="1" applyAlignment="1" applyProtection="1">
      <alignment/>
      <protection/>
    </xf>
    <xf numFmtId="40" fontId="31" fillId="0" borderId="26" xfId="0" applyNumberFormat="1" applyFont="1" applyBorder="1" applyAlignment="1">
      <alignment/>
    </xf>
    <xf numFmtId="40" fontId="31" fillId="0" borderId="48" xfId="0" applyNumberFormat="1" applyFont="1" applyBorder="1" applyAlignment="1">
      <alignment/>
    </xf>
    <xf numFmtId="40" fontId="31" fillId="0" borderId="49" xfId="0" applyNumberFormat="1" applyFont="1" applyBorder="1" applyAlignment="1">
      <alignment/>
    </xf>
    <xf numFmtId="40" fontId="31" fillId="0" borderId="53" xfId="0" applyNumberFormat="1" applyFont="1" applyBorder="1" applyAlignment="1">
      <alignment/>
    </xf>
    <xf numFmtId="0" fontId="0" fillId="18" borderId="23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15" fillId="0" borderId="0" xfId="0" applyFont="1" applyAlignment="1">
      <alignment/>
    </xf>
    <xf numFmtId="0" fontId="23" fillId="0" borderId="65" xfId="53" applyFont="1" applyFill="1" applyBorder="1" applyAlignment="1" applyProtection="1">
      <alignment/>
      <protection/>
    </xf>
    <xf numFmtId="179" fontId="29" fillId="0" borderId="13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" wrapText="1"/>
    </xf>
    <xf numFmtId="0" fontId="15" fillId="20" borderId="11" xfId="0" applyFont="1" applyFill="1" applyBorder="1" applyAlignment="1">
      <alignment horizontal="center" wrapText="1"/>
    </xf>
    <xf numFmtId="164" fontId="15" fillId="20" borderId="17" xfId="44" applyNumberFormat="1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wrapText="1"/>
    </xf>
    <xf numFmtId="0" fontId="15" fillId="20" borderId="17" xfId="0" applyFont="1" applyFill="1" applyBorder="1" applyAlignment="1">
      <alignment horizontal="center" wrapText="1"/>
    </xf>
    <xf numFmtId="0" fontId="0" fillId="20" borderId="19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15" fillId="20" borderId="4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73" fontId="30" fillId="0" borderId="29" xfId="59" applyNumberFormat="1" applyFont="1" applyBorder="1" applyAlignment="1">
      <alignment horizontal="right" vertical="center" wrapText="1"/>
    </xf>
    <xf numFmtId="164" fontId="30" fillId="0" borderId="57" xfId="44" applyNumberFormat="1" applyFont="1" applyBorder="1" applyAlignment="1">
      <alignment horizontal="left" vertical="center" wrapText="1"/>
    </xf>
    <xf numFmtId="164" fontId="30" fillId="0" borderId="57" xfId="44" applyNumberFormat="1" applyFont="1" applyBorder="1" applyAlignment="1">
      <alignment horizontal="left" vertical="center" wrapText="1"/>
    </xf>
    <xf numFmtId="173" fontId="30" fillId="0" borderId="48" xfId="59" applyNumberFormat="1" applyFont="1" applyFill="1" applyBorder="1" applyAlignment="1">
      <alignment wrapText="1"/>
    </xf>
    <xf numFmtId="173" fontId="30" fillId="0" borderId="14" xfId="59" applyNumberFormat="1" applyFont="1" applyFill="1" applyBorder="1" applyAlignment="1">
      <alignment vertical="top" wrapText="1"/>
    </xf>
    <xf numFmtId="173" fontId="30" fillId="0" borderId="66" xfId="59" applyNumberFormat="1" applyFont="1" applyFill="1" applyBorder="1" applyAlignment="1">
      <alignment vertical="top" wrapText="1"/>
    </xf>
    <xf numFmtId="173" fontId="30" fillId="0" borderId="47" xfId="59" applyNumberFormat="1" applyFont="1" applyFill="1" applyBorder="1" applyAlignment="1">
      <alignment wrapText="1"/>
    </xf>
    <xf numFmtId="173" fontId="30" fillId="0" borderId="22" xfId="59" applyNumberFormat="1" applyFont="1" applyFill="1" applyBorder="1" applyAlignment="1">
      <alignment vertical="top" wrapText="1"/>
    </xf>
    <xf numFmtId="173" fontId="30" fillId="0" borderId="45" xfId="59" applyNumberFormat="1" applyFont="1" applyFill="1" applyBorder="1" applyAlignment="1">
      <alignment vertical="top" wrapText="1"/>
    </xf>
    <xf numFmtId="173" fontId="30" fillId="0" borderId="48" xfId="59" applyNumberFormat="1" applyFont="1" applyFill="1" applyBorder="1" applyAlignment="1">
      <alignment vertical="top" wrapText="1"/>
    </xf>
    <xf numFmtId="173" fontId="30" fillId="0" borderId="47" xfId="59" applyNumberFormat="1" applyFont="1" applyFill="1" applyBorder="1" applyAlignment="1">
      <alignment vertical="top" wrapText="1"/>
    </xf>
    <xf numFmtId="40" fontId="36" fillId="0" borderId="12" xfId="0" applyNumberFormat="1" applyFont="1" applyBorder="1" applyAlignment="1">
      <alignment/>
    </xf>
    <xf numFmtId="40" fontId="36" fillId="0" borderId="14" xfId="0" applyNumberFormat="1" applyFont="1" applyBorder="1" applyAlignment="1">
      <alignment/>
    </xf>
    <xf numFmtId="40" fontId="36" fillId="0" borderId="27" xfId="0" applyNumberFormat="1" applyFont="1" applyBorder="1" applyAlignment="1">
      <alignment/>
    </xf>
    <xf numFmtId="40" fontId="36" fillId="0" borderId="15" xfId="0" applyNumberFormat="1" applyFont="1" applyBorder="1" applyAlignment="1">
      <alignment/>
    </xf>
    <xf numFmtId="173" fontId="0" fillId="0" borderId="48" xfId="59" applyNumberFormat="1" applyFont="1" applyFill="1" applyBorder="1" applyAlignment="1">
      <alignment wrapText="1"/>
    </xf>
    <xf numFmtId="37" fontId="0" fillId="0" borderId="48" xfId="42" applyNumberFormat="1" applyBorder="1" applyAlignment="1">
      <alignment/>
    </xf>
    <xf numFmtId="39" fontId="0" fillId="0" borderId="48" xfId="42" applyNumberFormat="1" applyBorder="1" applyAlignment="1">
      <alignment/>
    </xf>
    <xf numFmtId="39" fontId="20" fillId="0" borderId="48" xfId="42" applyNumberFormat="1" applyFont="1" applyBorder="1" applyAlignment="1">
      <alignment/>
    </xf>
    <xf numFmtId="39" fontId="20" fillId="0" borderId="49" xfId="42" applyNumberFormat="1" applyFont="1" applyBorder="1" applyAlignment="1">
      <alignment/>
    </xf>
    <xf numFmtId="173" fontId="0" fillId="0" borderId="14" xfId="59" applyNumberFormat="1" applyFont="1" applyFill="1" applyBorder="1" applyAlignment="1">
      <alignment wrapText="1"/>
    </xf>
    <xf numFmtId="37" fontId="0" fillId="0" borderId="14" xfId="42" applyNumberFormat="1" applyBorder="1" applyAlignment="1">
      <alignment/>
    </xf>
    <xf numFmtId="39" fontId="0" fillId="0" borderId="14" xfId="42" applyNumberFormat="1" applyBorder="1" applyAlignment="1">
      <alignment/>
    </xf>
    <xf numFmtId="39" fontId="20" fillId="0" borderId="14" xfId="42" applyNumberFormat="1" applyFont="1" applyBorder="1" applyAlignment="1">
      <alignment/>
    </xf>
    <xf numFmtId="39" fontId="20" fillId="0" borderId="15" xfId="42" applyNumberFormat="1" applyFont="1" applyBorder="1" applyAlignment="1">
      <alignment/>
    </xf>
    <xf numFmtId="164" fontId="18" fillId="2" borderId="22" xfId="44" applyNumberFormat="1" applyFont="1" applyFill="1" applyBorder="1" applyAlignment="1">
      <alignment/>
    </xf>
    <xf numFmtId="164" fontId="18" fillId="2" borderId="14" xfId="44" applyNumberFormat="1" applyFont="1" applyFill="1" applyBorder="1" applyAlignment="1">
      <alignment/>
    </xf>
    <xf numFmtId="37" fontId="0" fillId="2" borderId="14" xfId="42" applyNumberFormat="1" applyFill="1" applyBorder="1" applyAlignment="1">
      <alignment/>
    </xf>
    <xf numFmtId="39" fontId="0" fillId="2" borderId="14" xfId="42" applyNumberFormat="1" applyFill="1" applyBorder="1" applyAlignment="1">
      <alignment/>
    </xf>
    <xf numFmtId="39" fontId="20" fillId="2" borderId="14" xfId="42" applyNumberFormat="1" applyFont="1" applyFill="1" applyBorder="1" applyAlignment="1">
      <alignment/>
    </xf>
    <xf numFmtId="39" fontId="20" fillId="2" borderId="15" xfId="42" applyNumberFormat="1" applyFont="1" applyFill="1" applyBorder="1" applyAlignment="1">
      <alignment/>
    </xf>
    <xf numFmtId="164" fontId="20" fillId="2" borderId="22" xfId="44" applyNumberFormat="1" applyFont="1" applyFill="1" applyBorder="1" applyAlignment="1">
      <alignment/>
    </xf>
    <xf numFmtId="173" fontId="0" fillId="2" borderId="14" xfId="59" applyNumberFormat="1" applyFont="1" applyFill="1" applyBorder="1" applyAlignment="1">
      <alignment vertical="top" wrapText="1"/>
    </xf>
    <xf numFmtId="164" fontId="21" fillId="2" borderId="22" xfId="44" applyNumberFormat="1" applyFont="1" applyFill="1" applyBorder="1" applyAlignment="1">
      <alignment horizontal="right"/>
    </xf>
    <xf numFmtId="173" fontId="15" fillId="2" borderId="14" xfId="59" applyNumberFormat="1" applyFont="1" applyFill="1" applyBorder="1" applyAlignment="1">
      <alignment vertical="top" wrapText="1"/>
    </xf>
    <xf numFmtId="37" fontId="15" fillId="2" borderId="14" xfId="42" applyNumberFormat="1" applyFont="1" applyFill="1" applyBorder="1" applyAlignment="1">
      <alignment/>
    </xf>
    <xf numFmtId="39" fontId="21" fillId="2" borderId="14" xfId="42" applyNumberFormat="1" applyFont="1" applyFill="1" applyBorder="1" applyAlignment="1">
      <alignment/>
    </xf>
    <xf numFmtId="39" fontId="21" fillId="2" borderId="15" xfId="42" applyNumberFormat="1" applyFont="1" applyFill="1" applyBorder="1" applyAlignment="1">
      <alignment/>
    </xf>
    <xf numFmtId="173" fontId="0" fillId="0" borderId="14" xfId="59" applyNumberFormat="1" applyFont="1" applyFill="1" applyBorder="1" applyAlignment="1">
      <alignment vertical="top" wrapText="1"/>
    </xf>
    <xf numFmtId="164" fontId="0" fillId="2" borderId="22" xfId="44" applyNumberFormat="1" applyFont="1" applyFill="1" applyBorder="1" applyAlignment="1">
      <alignment/>
    </xf>
    <xf numFmtId="39" fontId="0" fillId="2" borderId="15" xfId="42" applyNumberFormat="1" applyFill="1" applyBorder="1" applyAlignment="1">
      <alignment/>
    </xf>
    <xf numFmtId="173" fontId="0" fillId="0" borderId="66" xfId="59" applyNumberFormat="1" applyFont="1" applyFill="1" applyBorder="1" applyAlignment="1">
      <alignment vertical="top" wrapText="1"/>
    </xf>
    <xf numFmtId="37" fontId="0" fillId="0" borderId="66" xfId="42" applyNumberFormat="1" applyBorder="1" applyAlignment="1">
      <alignment/>
    </xf>
    <xf numFmtId="39" fontId="0" fillId="0" borderId="66" xfId="42" applyNumberFormat="1" applyBorder="1" applyAlignment="1">
      <alignment/>
    </xf>
    <xf numFmtId="39" fontId="20" fillId="0" borderId="66" xfId="42" applyNumberFormat="1" applyFont="1" applyBorder="1" applyAlignment="1">
      <alignment/>
    </xf>
    <xf numFmtId="39" fontId="20" fillId="0" borderId="59" xfId="42" applyNumberFormat="1" applyFont="1" applyBorder="1" applyAlignment="1">
      <alignment/>
    </xf>
    <xf numFmtId="0" fontId="0" fillId="0" borderId="47" xfId="0" applyFill="1" applyBorder="1" applyAlignment="1">
      <alignment horizontal="left" wrapText="1"/>
    </xf>
    <xf numFmtId="165" fontId="0" fillId="0" borderId="48" xfId="59" applyNumberFormat="1" applyFont="1" applyBorder="1" applyAlignment="1">
      <alignment/>
    </xf>
    <xf numFmtId="179" fontId="0" fillId="0" borderId="48" xfId="0" applyNumberFormat="1" applyBorder="1" applyAlignment="1">
      <alignment/>
    </xf>
    <xf numFmtId="37" fontId="0" fillId="2" borderId="15" xfId="42" applyNumberFormat="1" applyFill="1" applyBorder="1" applyAlignment="1">
      <alignment/>
    </xf>
    <xf numFmtId="0" fontId="0" fillId="0" borderId="45" xfId="0" applyFill="1" applyBorder="1" applyAlignment="1">
      <alignment horizontal="left" vertical="top" wrapText="1"/>
    </xf>
    <xf numFmtId="165" fontId="0" fillId="0" borderId="66" xfId="59" applyNumberFormat="1" applyFont="1" applyBorder="1" applyAlignment="1">
      <alignment/>
    </xf>
    <xf numFmtId="179" fontId="0" fillId="0" borderId="66" xfId="0" applyNumberFormat="1" applyBorder="1" applyAlignment="1">
      <alignment/>
    </xf>
    <xf numFmtId="0" fontId="32" fillId="0" borderId="67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left" vertical="center" wrapText="1"/>
    </xf>
    <xf numFmtId="37" fontId="15" fillId="2" borderId="15" xfId="42" applyNumberFormat="1" applyFont="1" applyFill="1" applyBorder="1" applyAlignment="1">
      <alignment/>
    </xf>
    <xf numFmtId="170" fontId="18" fillId="0" borderId="0" xfId="59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9" fillId="0" borderId="13" xfId="59" applyNumberFormat="1" applyFont="1" applyBorder="1" applyAlignment="1">
      <alignment horizontal="right" vertical="center"/>
    </xf>
    <xf numFmtId="199" fontId="0" fillId="0" borderId="0" xfId="0" applyNumberFormat="1" applyAlignment="1">
      <alignment/>
    </xf>
    <xf numFmtId="173" fontId="0" fillId="0" borderId="0" xfId="59" applyNumberFormat="1" applyFont="1" applyAlignment="1">
      <alignment/>
    </xf>
    <xf numFmtId="165" fontId="15" fillId="0" borderId="19" xfId="0" applyNumberFormat="1" applyFont="1" applyBorder="1" applyAlignment="1">
      <alignment horizontal="left" vertical="center" wrapText="1"/>
    </xf>
    <xf numFmtId="164" fontId="15" fillId="0" borderId="19" xfId="0" applyNumberFormat="1" applyFont="1" applyBorder="1" applyAlignment="1">
      <alignment horizontal="left" vertical="center" wrapText="1"/>
    </xf>
    <xf numFmtId="38" fontId="15" fillId="0" borderId="19" xfId="44" applyNumberFormat="1" applyFont="1" applyFill="1" applyBorder="1" applyAlignment="1">
      <alignment/>
    </xf>
    <xf numFmtId="38" fontId="15" fillId="0" borderId="11" xfId="0" applyNumberFormat="1" applyFont="1" applyBorder="1" applyAlignment="1">
      <alignment horizontal="right" vertical="center" wrapText="1"/>
    </xf>
    <xf numFmtId="164" fontId="15" fillId="0" borderId="24" xfId="0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38" fontId="15" fillId="0" borderId="24" xfId="0" applyNumberFormat="1" applyFont="1" applyBorder="1" applyAlignment="1">
      <alignment horizontal="right" vertical="center" wrapText="1"/>
    </xf>
    <xf numFmtId="38" fontId="15" fillId="0" borderId="25" xfId="0" applyNumberFormat="1" applyFont="1" applyBorder="1" applyAlignment="1">
      <alignment horizontal="right" vertical="center" wrapText="1"/>
    </xf>
    <xf numFmtId="170" fontId="15" fillId="0" borderId="11" xfId="0" applyNumberFormat="1" applyFont="1" applyBorder="1" applyAlignment="1">
      <alignment horizontal="left" vertical="center" wrapText="1"/>
    </xf>
    <xf numFmtId="164" fontId="0" fillId="0" borderId="28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4" fontId="15" fillId="0" borderId="11" xfId="0" applyNumberFormat="1" applyFont="1" applyBorder="1" applyAlignment="1">
      <alignment horizontal="left" vertical="center" wrapText="1"/>
    </xf>
    <xf numFmtId="196" fontId="32" fillId="0" borderId="41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 horizontal="right" vertical="center" wrapText="1"/>
    </xf>
    <xf numFmtId="0" fontId="32" fillId="0" borderId="41" xfId="0" applyFont="1" applyBorder="1" applyAlignment="1">
      <alignment horizontal="right" vertical="center" wrapText="1"/>
    </xf>
    <xf numFmtId="165" fontId="15" fillId="0" borderId="11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172" fontId="0" fillId="0" borderId="0" xfId="59" applyNumberFormat="1" applyFont="1" applyAlignment="1">
      <alignment horizontal="left" vertical="center" wrapText="1"/>
    </xf>
    <xf numFmtId="186" fontId="0" fillId="0" borderId="0" xfId="0" applyNumberForma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23" fillId="0" borderId="0" xfId="53" applyAlignment="1" applyProtection="1">
      <alignment/>
      <protection/>
    </xf>
    <xf numFmtId="0" fontId="23" fillId="0" borderId="0" xfId="53" applyAlignment="1" applyProtection="1">
      <alignment/>
      <protection/>
    </xf>
    <xf numFmtId="164" fontId="39" fillId="0" borderId="0" xfId="0" applyNumberFormat="1" applyFont="1" applyFill="1" applyBorder="1" applyAlignment="1" quotePrefix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38" fontId="0" fillId="0" borderId="0" xfId="0" applyNumberFormat="1" applyAlignment="1">
      <alignment horizontal="left" vertical="center" wrapText="1"/>
    </xf>
    <xf numFmtId="206" fontId="0" fillId="0" borderId="0" xfId="0" applyNumberFormat="1" applyAlignment="1">
      <alignment horizontal="left" vertic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173" fontId="41" fillId="0" borderId="31" xfId="59" applyNumberFormat="1" applyFont="1" applyBorder="1" applyAlignment="1">
      <alignment horizontal="right" vertical="center" wrapText="1"/>
    </xf>
    <xf numFmtId="164" fontId="0" fillId="0" borderId="30" xfId="0" applyNumberFormat="1" applyBorder="1" applyAlignment="1">
      <alignment horizontal="left" vertical="center" wrapText="1"/>
    </xf>
    <xf numFmtId="165" fontId="0" fillId="0" borderId="62" xfId="59" applyNumberFormat="1" applyFont="1" applyBorder="1" applyAlignment="1">
      <alignment horizontal="right" vertical="center" wrapText="1"/>
    </xf>
    <xf numFmtId="164" fontId="0" fillId="0" borderId="63" xfId="0" applyNumberFormat="1" applyBorder="1" applyAlignment="1">
      <alignment horizontal="left" vertical="center" wrapText="1"/>
    </xf>
    <xf numFmtId="173" fontId="41" fillId="0" borderId="37" xfId="59" applyNumberFormat="1" applyFont="1" applyBorder="1" applyAlignment="1">
      <alignment horizontal="right" vertical="center" wrapText="1"/>
    </xf>
    <xf numFmtId="164" fontId="0" fillId="0" borderId="38" xfId="0" applyNumberFormat="1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center" vertical="center" wrapText="1"/>
    </xf>
    <xf numFmtId="165" fontId="0" fillId="0" borderId="70" xfId="59" applyNumberFormat="1" applyFont="1" applyBorder="1" applyAlignment="1">
      <alignment horizontal="right" vertical="center" wrapText="1"/>
    </xf>
    <xf numFmtId="164" fontId="0" fillId="0" borderId="71" xfId="0" applyNumberFormat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173" fontId="41" fillId="0" borderId="31" xfId="59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 quotePrefix="1">
      <alignment horizontal="center" vertical="center"/>
    </xf>
    <xf numFmtId="173" fontId="30" fillId="0" borderId="58" xfId="59" applyNumberFormat="1" applyFont="1" applyFill="1" applyBorder="1" applyAlignment="1">
      <alignment vertical="top" wrapText="1"/>
    </xf>
    <xf numFmtId="164" fontId="15" fillId="0" borderId="0" xfId="0" applyNumberFormat="1" applyFont="1" applyAlignment="1">
      <alignment/>
    </xf>
    <xf numFmtId="170" fontId="34" fillId="0" borderId="10" xfId="59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45" xfId="0" applyFont="1" applyBorder="1" applyAlignment="1">
      <alignment/>
    </xf>
    <xf numFmtId="0" fontId="42" fillId="0" borderId="0" xfId="0" applyFont="1" applyAlignment="1">
      <alignment horizontal="left" indent="1"/>
    </xf>
    <xf numFmtId="0" fontId="43" fillId="0" borderId="0" xfId="53" applyFont="1" applyAlignment="1" applyProtection="1">
      <alignment/>
      <protection/>
    </xf>
    <xf numFmtId="0" fontId="42" fillId="0" borderId="0" xfId="0" applyFont="1" applyAlignment="1">
      <alignment horizontal="left" indent="2"/>
    </xf>
    <xf numFmtId="165" fontId="44" fillId="0" borderId="53" xfId="59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165" fontId="0" fillId="0" borderId="62" xfId="59" applyNumberFormat="1" applyBorder="1" applyAlignment="1">
      <alignment horizontal="right" vertical="center" wrapText="1"/>
    </xf>
    <xf numFmtId="165" fontId="0" fillId="0" borderId="70" xfId="59" applyNumberForma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170" fontId="35" fillId="0" borderId="10" xfId="59" applyNumberFormat="1" applyFont="1" applyFill="1" applyBorder="1" applyAlignment="1">
      <alignment vertical="center" wrapText="1"/>
    </xf>
    <xf numFmtId="164" fontId="34" fillId="0" borderId="10" xfId="44" applyNumberFormat="1" applyFont="1" applyFill="1" applyBorder="1" applyAlignment="1">
      <alignment vertical="center" wrapText="1"/>
    </xf>
    <xf numFmtId="0" fontId="15" fillId="0" borderId="23" xfId="0" applyFont="1" applyBorder="1" applyAlignment="1">
      <alignment horizontal="left" vertical="center" wrapText="1"/>
    </xf>
    <xf numFmtId="164" fontId="15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30" fillId="0" borderId="49" xfId="59" applyNumberFormat="1" applyFont="1" applyBorder="1" applyAlignment="1">
      <alignment horizontal="right" vertical="center"/>
    </xf>
    <xf numFmtId="165" fontId="30" fillId="0" borderId="13" xfId="59" applyNumberFormat="1" applyFont="1" applyBorder="1" applyAlignment="1">
      <alignment horizontal="right" vertical="center"/>
    </xf>
    <xf numFmtId="165" fontId="30" fillId="0" borderId="72" xfId="59" applyNumberFormat="1" applyFont="1" applyBorder="1" applyAlignment="1">
      <alignment horizontal="right" vertical="center"/>
    </xf>
    <xf numFmtId="165" fontId="30" fillId="0" borderId="43" xfId="59" applyNumberFormat="1" applyFont="1" applyBorder="1" applyAlignment="1">
      <alignment horizontal="right" vertical="center"/>
    </xf>
    <xf numFmtId="0" fontId="15" fillId="8" borderId="73" xfId="0" applyFont="1" applyFill="1" applyBorder="1" applyAlignment="1">
      <alignment horizontal="center" vertical="center" wrapText="1"/>
    </xf>
    <xf numFmtId="164" fontId="15" fillId="0" borderId="58" xfId="0" applyNumberFormat="1" applyFont="1" applyBorder="1" applyAlignment="1">
      <alignment horizontal="left" vertical="center" wrapText="1"/>
    </xf>
    <xf numFmtId="165" fontId="15" fillId="0" borderId="51" xfId="0" applyNumberFormat="1" applyFont="1" applyBorder="1" applyAlignment="1">
      <alignment horizontal="right" vertical="center" wrapText="1"/>
    </xf>
    <xf numFmtId="164" fontId="28" fillId="0" borderId="61" xfId="44" applyNumberFormat="1" applyFont="1" applyBorder="1" applyAlignment="1">
      <alignment horizontal="left" vertical="center" wrapText="1"/>
    </xf>
    <xf numFmtId="164" fontId="28" fillId="0" borderId="31" xfId="44" applyNumberFormat="1" applyFont="1" applyBorder="1" applyAlignment="1">
      <alignment horizontal="left" vertical="center" wrapText="1"/>
    </xf>
    <xf numFmtId="164" fontId="28" fillId="0" borderId="47" xfId="44" applyNumberFormat="1" applyFont="1" applyBorder="1" applyAlignment="1">
      <alignment horizontal="left" vertical="center" wrapText="1"/>
    </xf>
    <xf numFmtId="164" fontId="28" fillId="0" borderId="21" xfId="44" applyNumberFormat="1" applyFont="1" applyBorder="1" applyAlignment="1">
      <alignment horizontal="left" vertical="center" wrapText="1"/>
    </xf>
    <xf numFmtId="0" fontId="15" fillId="0" borderId="0" xfId="0" applyFont="1" applyAlignment="1" quotePrefix="1">
      <alignment horizontal="right" vertical="center"/>
    </xf>
    <xf numFmtId="173" fontId="16" fillId="0" borderId="31" xfId="59" applyNumberFormat="1" applyFont="1" applyBorder="1" applyAlignment="1">
      <alignment horizontal="center" vertical="center" wrapText="1"/>
    </xf>
    <xf numFmtId="164" fontId="45" fillId="0" borderId="62" xfId="44" applyNumberFormat="1" applyFont="1" applyBorder="1" applyAlignment="1">
      <alignment horizontal="left" vertical="center" wrapText="1"/>
    </xf>
    <xf numFmtId="165" fontId="45" fillId="0" borderId="63" xfId="59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4" fontId="32" fillId="0" borderId="53" xfId="0" applyNumberFormat="1" applyFont="1" applyBorder="1" applyAlignment="1">
      <alignment horizontal="left" vertical="center" wrapText="1"/>
    </xf>
    <xf numFmtId="0" fontId="46" fillId="0" borderId="41" xfId="53" applyFont="1" applyBorder="1" applyAlignment="1" applyProtection="1">
      <alignment horizontal="right"/>
      <protection/>
    </xf>
    <xf numFmtId="164" fontId="47" fillId="0" borderId="74" xfId="44" applyNumberFormat="1" applyFont="1" applyBorder="1" applyAlignment="1">
      <alignment horizontal="left" vertical="center" wrapText="1"/>
    </xf>
    <xf numFmtId="0" fontId="46" fillId="0" borderId="31" xfId="53" applyFont="1" applyBorder="1" applyAlignment="1" applyProtection="1">
      <alignment horizontal="right"/>
      <protection/>
    </xf>
    <xf numFmtId="164" fontId="47" fillId="0" borderId="52" xfId="44" applyNumberFormat="1" applyFont="1" applyBorder="1" applyAlignment="1">
      <alignment horizontal="left" vertical="center" wrapText="1"/>
    </xf>
    <xf numFmtId="165" fontId="47" fillId="0" borderId="53" xfId="59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73" fontId="29" fillId="0" borderId="31" xfId="59" applyNumberFormat="1" applyFont="1" applyBorder="1" applyAlignment="1">
      <alignment horizontal="right" vertical="center" wrapText="1"/>
    </xf>
    <xf numFmtId="43" fontId="0" fillId="0" borderId="0" xfId="0" applyNumberForma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8" borderId="10" xfId="0" applyFill="1" applyBorder="1" applyAlignment="1">
      <alignment/>
    </xf>
    <xf numFmtId="40" fontId="22" fillId="0" borderId="10" xfId="0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2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39" fontId="20" fillId="0" borderId="67" xfId="42" applyNumberFormat="1" applyFont="1" applyBorder="1" applyAlignment="1">
      <alignment/>
    </xf>
    <xf numFmtId="39" fontId="20" fillId="0" borderId="68" xfId="42" applyNumberFormat="1" applyFont="1" applyBorder="1" applyAlignment="1">
      <alignment/>
    </xf>
    <xf numFmtId="39" fontId="20" fillId="2" borderId="68" xfId="42" applyNumberFormat="1" applyFont="1" applyFill="1" applyBorder="1" applyAlignment="1">
      <alignment/>
    </xf>
    <xf numFmtId="37" fontId="0" fillId="2" borderId="68" xfId="42" applyNumberFormat="1" applyFill="1" applyBorder="1" applyAlignment="1">
      <alignment/>
    </xf>
    <xf numFmtId="39" fontId="20" fillId="0" borderId="69" xfId="42" applyNumberFormat="1" applyFont="1" applyBorder="1" applyAlignment="1">
      <alignment/>
    </xf>
    <xf numFmtId="37" fontId="0" fillId="0" borderId="10" xfId="42" applyNumberFormat="1" applyBorder="1" applyAlignment="1">
      <alignment/>
    </xf>
    <xf numFmtId="39" fontId="20" fillId="2" borderId="10" xfId="42" applyNumberFormat="1" applyFont="1" applyFill="1" applyBorder="1" applyAlignment="1">
      <alignment/>
    </xf>
    <xf numFmtId="39" fontId="20" fillId="2" borderId="41" xfId="42" applyNumberFormat="1" applyFont="1" applyFill="1" applyBorder="1" applyAlignment="1">
      <alignment/>
    </xf>
    <xf numFmtId="180" fontId="26" fillId="24" borderId="75" xfId="0" applyNumberFormat="1" applyFont="1" applyFill="1" applyBorder="1" applyAlignment="1">
      <alignment horizontal="center"/>
    </xf>
    <xf numFmtId="180" fontId="27" fillId="24" borderId="41" xfId="0" applyNumberFormat="1" applyFont="1" applyFill="1" applyBorder="1" applyAlignment="1">
      <alignment horizontal="right"/>
    </xf>
    <xf numFmtId="180" fontId="27" fillId="24" borderId="76" xfId="0" applyNumberFormat="1" applyFont="1" applyFill="1" applyBorder="1" applyAlignment="1">
      <alignment horizontal="right"/>
    </xf>
    <xf numFmtId="180" fontId="27" fillId="24" borderId="77" xfId="0" applyNumberFormat="1" applyFont="1" applyFill="1" applyBorder="1" applyAlignment="1">
      <alignment horizontal="right"/>
    </xf>
    <xf numFmtId="37" fontId="0" fillId="2" borderId="10" xfId="42" applyNumberFormat="1" applyFill="1" applyBorder="1" applyAlignment="1">
      <alignment/>
    </xf>
    <xf numFmtId="179" fontId="20" fillId="0" borderId="10" xfId="0" applyNumberFormat="1" applyFont="1" applyBorder="1" applyAlignment="1">
      <alignment/>
    </xf>
    <xf numFmtId="0" fontId="48" fillId="0" borderId="31" xfId="53" applyFont="1" applyBorder="1" applyAlignment="1" applyProtection="1">
      <alignment horizontal="right"/>
      <protection/>
    </xf>
    <xf numFmtId="165" fontId="5" fillId="0" borderId="12" xfId="59" applyNumberFormat="1" applyFont="1" applyBorder="1" applyAlignment="1">
      <alignment horizontal="right" vertical="center"/>
    </xf>
    <xf numFmtId="164" fontId="5" fillId="0" borderId="30" xfId="44" applyNumberFormat="1" applyFont="1" applyBorder="1" applyAlignment="1">
      <alignment horizontal="left" vertical="center" wrapText="1"/>
    </xf>
    <xf numFmtId="40" fontId="49" fillId="0" borderId="26" xfId="0" applyNumberFormat="1" applyFont="1" applyBorder="1" applyAlignment="1">
      <alignment/>
    </xf>
    <xf numFmtId="40" fontId="49" fillId="0" borderId="53" xfId="0" applyNumberFormat="1" applyFont="1" applyBorder="1" applyAlignment="1">
      <alignment/>
    </xf>
    <xf numFmtId="0" fontId="5" fillId="0" borderId="0" xfId="0" applyFont="1" applyAlignment="1">
      <alignment/>
    </xf>
    <xf numFmtId="40" fontId="49" fillId="0" borderId="41" xfId="0" applyNumberFormat="1" applyFont="1" applyBorder="1" applyAlignment="1">
      <alignment/>
    </xf>
    <xf numFmtId="40" fontId="45" fillId="0" borderId="22" xfId="0" applyNumberFormat="1" applyFont="1" applyBorder="1" applyAlignment="1">
      <alignment horizontal="right" vertical="center" wrapText="1"/>
    </xf>
    <xf numFmtId="40" fontId="45" fillId="0" borderId="58" xfId="0" applyNumberFormat="1" applyFont="1" applyBorder="1" applyAlignment="1">
      <alignment horizontal="right" vertical="center" wrapText="1"/>
    </xf>
    <xf numFmtId="40" fontId="49" fillId="0" borderId="50" xfId="0" applyNumberFormat="1" applyFont="1" applyBorder="1" applyAlignment="1">
      <alignment/>
    </xf>
    <xf numFmtId="40" fontId="49" fillId="0" borderId="51" xfId="0" applyNumberFormat="1" applyFont="1" applyBorder="1" applyAlignment="1">
      <alignment/>
    </xf>
    <xf numFmtId="0" fontId="0" fillId="25" borderId="10" xfId="0" applyFill="1" applyBorder="1" applyAlignment="1">
      <alignment horizontal="center" wrapText="1"/>
    </xf>
    <xf numFmtId="43" fontId="50" fillId="8" borderId="10" xfId="42" applyFont="1" applyFill="1" applyBorder="1" applyAlignment="1">
      <alignment horizontal="left" vertical="center"/>
    </xf>
    <xf numFmtId="40" fontId="51" fillId="0" borderId="40" xfId="0" applyNumberFormat="1" applyFont="1" applyBorder="1" applyAlignment="1">
      <alignment/>
    </xf>
    <xf numFmtId="40" fontId="51" fillId="0" borderId="68" xfId="0" applyNumberFormat="1" applyFont="1" applyBorder="1" applyAlignment="1">
      <alignment/>
    </xf>
    <xf numFmtId="40" fontId="51" fillId="0" borderId="78" xfId="0" applyNumberFormat="1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51" fillId="0" borderId="0" xfId="0" applyNumberFormat="1" applyFont="1" applyBorder="1" applyAlignment="1">
      <alignment/>
    </xf>
    <xf numFmtId="0" fontId="29" fillId="25" borderId="10" xfId="0" applyFont="1" applyFill="1" applyBorder="1" applyAlignment="1">
      <alignment/>
    </xf>
    <xf numFmtId="40" fontId="49" fillId="0" borderId="79" xfId="0" applyNumberFormat="1" applyFont="1" applyBorder="1" applyAlignment="1">
      <alignment/>
    </xf>
    <xf numFmtId="0" fontId="6" fillId="0" borderId="0" xfId="0" applyFont="1" applyAlignment="1">
      <alignment/>
    </xf>
    <xf numFmtId="40" fontId="52" fillId="0" borderId="13" xfId="0" applyNumberFormat="1" applyFont="1" applyBorder="1" applyAlignment="1">
      <alignment/>
    </xf>
    <xf numFmtId="40" fontId="52" fillId="0" borderId="15" xfId="0" applyNumberFormat="1" applyFont="1" applyBorder="1" applyAlignment="1">
      <alignment/>
    </xf>
    <xf numFmtId="40" fontId="52" fillId="0" borderId="28" xfId="0" applyNumberFormat="1" applyFont="1" applyBorder="1" applyAlignment="1">
      <alignment/>
    </xf>
    <xf numFmtId="40" fontId="52" fillId="0" borderId="0" xfId="0" applyNumberFormat="1" applyFont="1" applyBorder="1" applyAlignment="1">
      <alignment/>
    </xf>
    <xf numFmtId="0" fontId="6" fillId="20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9" fontId="0" fillId="0" borderId="0" xfId="59" applyFont="1" applyAlignment="1">
      <alignment/>
    </xf>
    <xf numFmtId="0" fontId="0" fillId="0" borderId="62" xfId="0" applyBorder="1" applyAlignment="1">
      <alignment/>
    </xf>
    <xf numFmtId="169" fontId="0" fillId="0" borderId="41" xfId="59" applyNumberFormat="1" applyFont="1" applyBorder="1" applyAlignment="1">
      <alignment/>
    </xf>
    <xf numFmtId="169" fontId="0" fillId="0" borderId="79" xfId="59" applyNumberFormat="1" applyFont="1" applyBorder="1" applyAlignment="1">
      <alignment/>
    </xf>
    <xf numFmtId="40" fontId="51" fillId="0" borderId="79" xfId="0" applyNumberFormat="1" applyFont="1" applyBorder="1" applyAlignment="1">
      <alignment/>
    </xf>
    <xf numFmtId="0" fontId="0" fillId="0" borderId="79" xfId="0" applyBorder="1" applyAlignment="1">
      <alignment/>
    </xf>
    <xf numFmtId="0" fontId="0" fillId="0" borderId="10" xfId="0" applyBorder="1" applyAlignment="1">
      <alignment/>
    </xf>
    <xf numFmtId="169" fontId="53" fillId="0" borderId="41" xfId="59" applyNumberFormat="1" applyFont="1" applyBorder="1" applyAlignment="1">
      <alignment/>
    </xf>
    <xf numFmtId="169" fontId="53" fillId="0" borderId="79" xfId="59" applyNumberFormat="1" applyFont="1" applyBorder="1" applyAlignment="1">
      <alignment/>
    </xf>
    <xf numFmtId="39" fontId="21" fillId="2" borderId="68" xfId="42" applyNumberFormat="1" applyFont="1" applyFill="1" applyBorder="1" applyAlignment="1">
      <alignment/>
    </xf>
    <xf numFmtId="39" fontId="0" fillId="2" borderId="68" xfId="42" applyNumberFormat="1" applyFill="1" applyBorder="1" applyAlignment="1">
      <alignment/>
    </xf>
    <xf numFmtId="39" fontId="33" fillId="0" borderId="10" xfId="42" applyNumberFormat="1" applyFont="1" applyBorder="1" applyAlignment="1">
      <alignment/>
    </xf>
    <xf numFmtId="43" fontId="20" fillId="0" borderId="10" xfId="0" applyNumberFormat="1" applyFont="1" applyBorder="1" applyAlignment="1">
      <alignment/>
    </xf>
    <xf numFmtId="164" fontId="5" fillId="0" borderId="43" xfId="44" applyNumberFormat="1" applyFont="1" applyBorder="1" applyAlignment="1">
      <alignment horizontal="left" vertical="center" wrapText="1"/>
    </xf>
    <xf numFmtId="40" fontId="53" fillId="0" borderId="26" xfId="0" applyNumberFormat="1" applyFont="1" applyBorder="1" applyAlignment="1">
      <alignment/>
    </xf>
    <xf numFmtId="40" fontId="53" fillId="0" borderId="53" xfId="0" applyNumberFormat="1" applyFont="1" applyBorder="1" applyAlignment="1">
      <alignment/>
    </xf>
    <xf numFmtId="43" fontId="33" fillId="0" borderId="41" xfId="42" applyNumberFormat="1" applyFont="1" applyBorder="1" applyAlignment="1">
      <alignment/>
    </xf>
    <xf numFmtId="0" fontId="0" fillId="25" borderId="10" xfId="0" applyFill="1" applyBorder="1" applyAlignment="1">
      <alignment/>
    </xf>
    <xf numFmtId="169" fontId="0" fillId="0" borderId="60" xfId="59" applyNumberFormat="1" applyFont="1" applyBorder="1" applyAlignment="1">
      <alignment/>
    </xf>
    <xf numFmtId="40" fontId="53" fillId="0" borderId="51" xfId="0" applyNumberFormat="1" applyFont="1" applyBorder="1" applyAlignment="1">
      <alignment/>
    </xf>
    <xf numFmtId="173" fontId="28" fillId="0" borderId="21" xfId="59" applyNumberFormat="1" applyFont="1" applyBorder="1" applyAlignment="1">
      <alignment horizontal="right" vertical="center" wrapText="1"/>
    </xf>
    <xf numFmtId="173" fontId="28" fillId="0" borderId="22" xfId="59" applyNumberFormat="1" applyFont="1" applyBorder="1" applyAlignment="1">
      <alignment horizontal="right" vertical="center" wrapText="1"/>
    </xf>
    <xf numFmtId="173" fontId="28" fillId="0" borderId="47" xfId="59" applyNumberFormat="1" applyFont="1" applyFill="1" applyBorder="1" applyAlignment="1">
      <alignment horizontal="right" vertical="center" wrapText="1"/>
    </xf>
    <xf numFmtId="173" fontId="28" fillId="0" borderId="22" xfId="59" applyNumberFormat="1" applyFont="1" applyFill="1" applyBorder="1" applyAlignment="1">
      <alignment horizontal="right" vertical="center" wrapText="1"/>
    </xf>
    <xf numFmtId="173" fontId="28" fillId="0" borderId="29" xfId="59" applyNumberFormat="1" applyFont="1" applyFill="1" applyBorder="1" applyAlignment="1">
      <alignment horizontal="right" vertical="center" wrapText="1"/>
    </xf>
    <xf numFmtId="173" fontId="5" fillId="0" borderId="52" xfId="59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69" fontId="0" fillId="0" borderId="0" xfId="5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173" fontId="16" fillId="0" borderId="31" xfId="59" applyNumberFormat="1" applyFont="1" applyBorder="1" applyAlignment="1">
      <alignment horizontal="left" vertical="center"/>
    </xf>
    <xf numFmtId="37" fontId="29" fillId="0" borderId="14" xfId="42" applyNumberFormat="1" applyFont="1" applyBorder="1" applyAlignment="1">
      <alignment/>
    </xf>
    <xf numFmtId="0" fontId="23" fillId="0" borderId="0" xfId="53" applyFont="1" applyAlignment="1" applyProtection="1">
      <alignment/>
      <protection/>
    </xf>
    <xf numFmtId="173" fontId="55" fillId="0" borderId="31" xfId="59" applyNumberFormat="1" applyFont="1" applyBorder="1" applyAlignment="1">
      <alignment horizontal="left" vertical="center"/>
    </xf>
    <xf numFmtId="0" fontId="37" fillId="0" borderId="0" xfId="0" applyFont="1" applyAlignment="1">
      <alignment/>
    </xf>
    <xf numFmtId="0" fontId="56" fillId="0" borderId="0" xfId="0" applyFont="1" applyAlignment="1">
      <alignment/>
    </xf>
    <xf numFmtId="43" fontId="57" fillId="8" borderId="10" xfId="42" applyFont="1" applyFill="1" applyBorder="1" applyAlignment="1">
      <alignment horizontal="left" vertical="center"/>
    </xf>
    <xf numFmtId="173" fontId="30" fillId="0" borderId="52" xfId="59" applyNumberFormat="1" applyFont="1" applyBorder="1" applyAlignment="1">
      <alignment horizontal="right" vertical="center" wrapText="1"/>
    </xf>
    <xf numFmtId="179" fontId="29" fillId="0" borderId="53" xfId="0" applyNumberFormat="1" applyFont="1" applyBorder="1" applyAlignment="1">
      <alignment horizontal="left" vertical="center" wrapText="1"/>
    </xf>
    <xf numFmtId="165" fontId="0" fillId="0" borderId="80" xfId="59" applyNumberFormat="1" applyFont="1" applyBorder="1" applyAlignment="1">
      <alignment horizontal="right" vertical="center" wrapText="1"/>
    </xf>
    <xf numFmtId="164" fontId="0" fillId="0" borderId="81" xfId="0" applyNumberFormat="1" applyBorder="1" applyAlignment="1">
      <alignment horizontal="left" vertical="center" wrapText="1"/>
    </xf>
    <xf numFmtId="164" fontId="30" fillId="0" borderId="82" xfId="44" applyNumberFormat="1" applyFont="1" applyBorder="1" applyAlignment="1">
      <alignment horizontal="left" vertical="center" wrapText="1"/>
    </xf>
    <xf numFmtId="164" fontId="30" fillId="0" borderId="83" xfId="44" applyNumberFormat="1" applyFont="1" applyBorder="1" applyAlignment="1">
      <alignment horizontal="left" vertical="center" wrapText="1"/>
    </xf>
    <xf numFmtId="0" fontId="23" fillId="0" borderId="67" xfId="53" applyBorder="1" applyAlignment="1" applyProtection="1">
      <alignment horizontal="left" vertical="center" wrapText="1"/>
      <protection/>
    </xf>
    <xf numFmtId="0" fontId="23" fillId="0" borderId="69" xfId="53" applyBorder="1" applyAlignment="1" applyProtection="1">
      <alignment horizontal="left" vertical="center" wrapText="1"/>
      <protection/>
    </xf>
    <xf numFmtId="165" fontId="29" fillId="0" borderId="84" xfId="59" applyNumberFormat="1" applyFont="1" applyBorder="1" applyAlignment="1">
      <alignment horizontal="right" vertical="center"/>
    </xf>
    <xf numFmtId="165" fontId="29" fillId="0" borderId="85" xfId="59" applyNumberFormat="1" applyFont="1" applyBorder="1" applyAlignment="1">
      <alignment horizontal="right" vertical="center"/>
    </xf>
    <xf numFmtId="165" fontId="47" fillId="0" borderId="86" xfId="59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 wrapText="1"/>
    </xf>
    <xf numFmtId="196" fontId="32" fillId="0" borderId="67" xfId="0" applyNumberFormat="1" applyFont="1" applyBorder="1" applyAlignment="1">
      <alignment horizontal="right" vertical="center" wrapText="1"/>
    </xf>
    <xf numFmtId="196" fontId="32" fillId="0" borderId="68" xfId="0" applyNumberFormat="1" applyFont="1" applyBorder="1" applyAlignment="1">
      <alignment horizontal="right" vertical="center" wrapText="1"/>
    </xf>
    <xf numFmtId="40" fontId="51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8" fillId="0" borderId="21" xfId="53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58" fillId="0" borderId="31" xfId="53" applyFont="1" applyBorder="1" applyAlignment="1" applyProtection="1">
      <alignment/>
      <protection/>
    </xf>
    <xf numFmtId="0" fontId="59" fillId="0" borderId="31" xfId="53" applyFont="1" applyBorder="1" applyAlignment="1" applyProtection="1">
      <alignment horizontal="right"/>
      <protection/>
    </xf>
    <xf numFmtId="0" fontId="0" fillId="20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8" borderId="23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22" xfId="0" applyFont="1" applyBorder="1" applyAlignment="1">
      <alignment/>
    </xf>
    <xf numFmtId="164" fontId="15" fillId="2" borderId="22" xfId="44" applyNumberFormat="1" applyFont="1" applyFill="1" applyBorder="1" applyAlignment="1">
      <alignment/>
    </xf>
    <xf numFmtId="164" fontId="0" fillId="2" borderId="22" xfId="44" applyNumberFormat="1" applyFont="1" applyFill="1" applyBorder="1" applyAlignment="1">
      <alignment/>
    </xf>
    <xf numFmtId="164" fontId="15" fillId="2" borderId="22" xfId="44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vertical="top" wrapText="1"/>
    </xf>
    <xf numFmtId="164" fontId="15" fillId="2" borderId="23" xfId="44" applyNumberFormat="1" applyFont="1" applyFill="1" applyBorder="1" applyAlignment="1">
      <alignment/>
    </xf>
    <xf numFmtId="164" fontId="0" fillId="2" borderId="31" xfId="44" applyNumberFormat="1" applyFont="1" applyFill="1" applyBorder="1" applyAlignment="1">
      <alignment/>
    </xf>
    <xf numFmtId="180" fontId="28" fillId="24" borderId="33" xfId="0" applyNumberFormat="1" applyFont="1" applyFill="1" applyBorder="1" applyAlignment="1">
      <alignment horizontal="center"/>
    </xf>
    <xf numFmtId="180" fontId="28" fillId="24" borderId="35" xfId="0" applyNumberFormat="1" applyFont="1" applyFill="1" applyBorder="1" applyAlignment="1">
      <alignment horizontal="right"/>
    </xf>
    <xf numFmtId="164" fontId="0" fillId="2" borderId="31" xfId="44" applyNumberFormat="1" applyFont="1" applyFill="1" applyBorder="1" applyAlignment="1">
      <alignment/>
    </xf>
    <xf numFmtId="164" fontId="15" fillId="2" borderId="23" xfId="44" applyNumberFormat="1" applyFont="1" applyFill="1" applyBorder="1" applyAlignment="1">
      <alignment horizontal="right"/>
    </xf>
    <xf numFmtId="165" fontId="0" fillId="0" borderId="12" xfId="59" applyNumberFormat="1" applyFont="1" applyBorder="1" applyAlignment="1">
      <alignment horizontal="right" vertical="center"/>
    </xf>
    <xf numFmtId="164" fontId="0" fillId="0" borderId="20" xfId="44" applyNumberFormat="1" applyFont="1" applyBorder="1" applyAlignment="1">
      <alignment horizontal="left" vertical="center" wrapText="1"/>
    </xf>
    <xf numFmtId="165" fontId="0" fillId="0" borderId="24" xfId="0" applyNumberFormat="1" applyFont="1" applyBorder="1" applyAlignment="1">
      <alignment/>
    </xf>
    <xf numFmtId="164" fontId="0" fillId="0" borderId="24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43" xfId="44" applyNumberFormat="1" applyFont="1" applyBorder="1" applyAlignment="1">
      <alignment horizontal="left" vertical="center" wrapText="1"/>
    </xf>
    <xf numFmtId="164" fontId="0" fillId="0" borderId="25" xfId="0" applyNumberFormat="1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 wrapText="1"/>
    </xf>
    <xf numFmtId="0" fontId="0" fillId="8" borderId="24" xfId="0" applyFont="1" applyFill="1" applyBorder="1" applyAlignment="1">
      <alignment wrapText="1"/>
    </xf>
    <xf numFmtId="173" fontId="0" fillId="0" borderId="48" xfId="59" applyNumberFormat="1" applyFont="1" applyFill="1" applyBorder="1" applyAlignment="1">
      <alignment wrapText="1"/>
    </xf>
    <xf numFmtId="37" fontId="0" fillId="0" borderId="48" xfId="42" applyNumberFormat="1" applyFont="1" applyBorder="1" applyAlignment="1">
      <alignment/>
    </xf>
    <xf numFmtId="173" fontId="0" fillId="0" borderId="14" xfId="59" applyNumberFormat="1" applyFont="1" applyFill="1" applyBorder="1" applyAlignment="1">
      <alignment wrapText="1"/>
    </xf>
    <xf numFmtId="37" fontId="0" fillId="0" borderId="14" xfId="42" applyNumberFormat="1" applyFont="1" applyBorder="1" applyAlignment="1">
      <alignment/>
    </xf>
    <xf numFmtId="164" fontId="15" fillId="2" borderId="14" xfId="44" applyNumberFormat="1" applyFont="1" applyFill="1" applyBorder="1" applyAlignment="1">
      <alignment/>
    </xf>
    <xf numFmtId="37" fontId="0" fillId="2" borderId="14" xfId="42" applyNumberFormat="1" applyFont="1" applyFill="1" applyBorder="1" applyAlignment="1">
      <alignment/>
    </xf>
    <xf numFmtId="173" fontId="0" fillId="2" borderId="14" xfId="59" applyNumberFormat="1" applyFont="1" applyFill="1" applyBorder="1" applyAlignment="1">
      <alignment vertical="top" wrapText="1"/>
    </xf>
    <xf numFmtId="173" fontId="0" fillId="0" borderId="14" xfId="59" applyNumberFormat="1" applyFont="1" applyFill="1" applyBorder="1" applyAlignment="1">
      <alignment vertical="top" wrapText="1"/>
    </xf>
    <xf numFmtId="173" fontId="0" fillId="0" borderId="66" xfId="59" applyNumberFormat="1" applyFont="1" applyFill="1" applyBorder="1" applyAlignment="1">
      <alignment vertical="top" wrapText="1"/>
    </xf>
    <xf numFmtId="37" fontId="0" fillId="0" borderId="66" xfId="42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37" fontId="0" fillId="0" borderId="24" xfId="42" applyNumberFormat="1" applyFont="1" applyBorder="1" applyAlignment="1">
      <alignment/>
    </xf>
    <xf numFmtId="165" fontId="0" fillId="0" borderId="48" xfId="59" applyNumberFormat="1" applyFont="1" applyBorder="1" applyAlignment="1">
      <alignment/>
    </xf>
    <xf numFmtId="179" fontId="0" fillId="0" borderId="48" xfId="0" applyNumberFormat="1" applyFont="1" applyBorder="1" applyAlignment="1">
      <alignment/>
    </xf>
    <xf numFmtId="165" fontId="0" fillId="0" borderId="66" xfId="59" applyNumberFormat="1" applyFont="1" applyBorder="1" applyAlignment="1">
      <alignment/>
    </xf>
    <xf numFmtId="179" fontId="0" fillId="0" borderId="66" xfId="0" applyNumberFormat="1" applyFont="1" applyBorder="1" applyAlignment="1">
      <alignment/>
    </xf>
    <xf numFmtId="164" fontId="15" fillId="2" borderId="24" xfId="44" applyNumberFormat="1" applyFont="1" applyFill="1" applyBorder="1" applyAlignment="1">
      <alignment/>
    </xf>
    <xf numFmtId="37" fontId="0" fillId="2" borderId="24" xfId="42" applyNumberFormat="1" applyFont="1" applyFill="1" applyBorder="1" applyAlignment="1">
      <alignment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ont="1" applyFill="1" applyBorder="1" applyAlignment="1">
      <alignment/>
    </xf>
    <xf numFmtId="180" fontId="28" fillId="24" borderId="32" xfId="0" applyNumberFormat="1" applyFont="1" applyFill="1" applyBorder="1" applyAlignment="1">
      <alignment horizontal="center"/>
    </xf>
    <xf numFmtId="173" fontId="29" fillId="24" borderId="0" xfId="0" applyNumberFormat="1" applyFont="1" applyFill="1" applyBorder="1" applyAlignment="1">
      <alignment horizontal="center"/>
    </xf>
    <xf numFmtId="180" fontId="29" fillId="24" borderId="0" xfId="0" applyNumberFormat="1" applyFont="1" applyFill="1" applyBorder="1" applyAlignment="1">
      <alignment horizontal="right"/>
    </xf>
    <xf numFmtId="173" fontId="29" fillId="24" borderId="16" xfId="0" applyNumberFormat="1" applyFont="1" applyFill="1" applyBorder="1" applyAlignment="1">
      <alignment horizontal="center"/>
    </xf>
    <xf numFmtId="180" fontId="29" fillId="24" borderId="16" xfId="0" applyNumberFormat="1" applyFont="1" applyFill="1" applyBorder="1" applyAlignment="1">
      <alignment horizontal="right"/>
    </xf>
    <xf numFmtId="173" fontId="29" fillId="24" borderId="36" xfId="0" applyNumberFormat="1" applyFont="1" applyFill="1" applyBorder="1" applyAlignment="1">
      <alignment horizontal="right"/>
    </xf>
    <xf numFmtId="180" fontId="29" fillId="24" borderId="36" xfId="0" applyNumberFormat="1" applyFont="1" applyFill="1" applyBorder="1" applyAlignment="1">
      <alignment horizontal="right"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ont="1" applyFill="1" applyBorder="1" applyAlignment="1">
      <alignment/>
    </xf>
    <xf numFmtId="173" fontId="0" fillId="2" borderId="24" xfId="59" applyNumberFormat="1" applyFont="1" applyFill="1" applyBorder="1" applyAlignment="1">
      <alignment vertical="top" wrapText="1"/>
    </xf>
    <xf numFmtId="37" fontId="0" fillId="2" borderId="24" xfId="42" applyNumberFormat="1" applyFont="1" applyFill="1" applyBorder="1" applyAlignment="1">
      <alignment/>
    </xf>
    <xf numFmtId="165" fontId="0" fillId="0" borderId="24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 wrapText="1"/>
    </xf>
    <xf numFmtId="0" fontId="0" fillId="8" borderId="24" xfId="0" applyFont="1" applyFill="1" applyBorder="1" applyAlignment="1">
      <alignment wrapText="1"/>
    </xf>
    <xf numFmtId="173" fontId="0" fillId="0" borderId="14" xfId="59" applyNumberFormat="1" applyFont="1" applyFill="1" applyBorder="1" applyAlignment="1">
      <alignment wrapText="1"/>
    </xf>
    <xf numFmtId="173" fontId="0" fillId="0" borderId="66" xfId="59" applyNumberFormat="1" applyFont="1" applyFill="1" applyBorder="1" applyAlignment="1">
      <alignment wrapText="1"/>
    </xf>
    <xf numFmtId="0" fontId="24" fillId="0" borderId="0" xfId="0" applyFont="1" applyAlignment="1">
      <alignment horizontal="left" vertical="center"/>
    </xf>
    <xf numFmtId="0" fontId="60" fillId="0" borderId="0" xfId="53" applyFont="1" applyAlignment="1" applyProtection="1">
      <alignment/>
      <protection/>
    </xf>
    <xf numFmtId="173" fontId="61" fillId="0" borderId="31" xfId="59" applyNumberFormat="1" applyFont="1" applyBorder="1" applyAlignment="1">
      <alignment horizontal="left" vertical="center"/>
    </xf>
    <xf numFmtId="173" fontId="16" fillId="0" borderId="31" xfId="59" applyNumberFormat="1" applyFont="1" applyBorder="1" applyAlignment="1">
      <alignment horizontal="right" vertical="center" wrapText="1"/>
    </xf>
    <xf numFmtId="164" fontId="63" fillId="0" borderId="74" xfId="44" applyNumberFormat="1" applyFont="1" applyBorder="1" applyAlignment="1">
      <alignment horizontal="left" vertical="center" wrapText="1"/>
    </xf>
    <xf numFmtId="0" fontId="23" fillId="0" borderId="68" xfId="53" applyFont="1" applyBorder="1" applyAlignment="1" applyProtection="1">
      <alignment horizontal="left" vertical="center" wrapText="1"/>
      <protection/>
    </xf>
    <xf numFmtId="0" fontId="18" fillId="2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173" fontId="29" fillId="0" borderId="0" xfId="59" applyNumberFormat="1" applyFont="1" applyFill="1" applyBorder="1" applyAlignment="1">
      <alignment horizontal="right" vertical="center" wrapText="1"/>
    </xf>
    <xf numFmtId="179" fontId="0" fillId="0" borderId="0" xfId="0" applyNumberFormat="1" applyFill="1" applyBorder="1" applyAlignment="1">
      <alignment horizontal="left" vertical="center" wrapText="1"/>
    </xf>
    <xf numFmtId="173" fontId="0" fillId="0" borderId="0" xfId="0" applyNumberFormat="1" applyFill="1" applyBorder="1" applyAlignment="1">
      <alignment horizontal="left" vertical="center" wrapText="1"/>
    </xf>
    <xf numFmtId="179" fontId="15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37" fontId="15" fillId="2" borderId="68" xfId="42" applyNumberFormat="1" applyFont="1" applyFill="1" applyBorder="1" applyAlignment="1">
      <alignment/>
    </xf>
    <xf numFmtId="0" fontId="54" fillId="0" borderId="0" xfId="0" applyFont="1" applyAlignment="1">
      <alignment/>
    </xf>
    <xf numFmtId="43" fontId="29" fillId="8" borderId="10" xfId="42" applyFont="1" applyFill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nfo.ca.gov/pub/11-12/bill/sen/sb_1001-1050/sb_1020_bill_20120627_chaptered.pdf" TargetMode="External" /><Relationship Id="rId2" Type="http://schemas.openxmlformats.org/officeDocument/2006/relationships/hyperlink" Target="http://www.cmhda.org/go/Portals/0/CMHDA%20Files/Breaking%20News/1209_September/Behavorial_Health_Subaccount_Percent_Allocations_2012-13_(9-18-12).xlsx" TargetMode="External" /><Relationship Id="rId3" Type="http://schemas.openxmlformats.org/officeDocument/2006/relationships/hyperlink" Target="http://www.leginfo.ca.gov/pub/11-12/bill/sen/sb_1001-1050/sb_1020_bill_20120627_chaptered.pdf" TargetMode="External" /><Relationship Id="rId4" Type="http://schemas.openxmlformats.org/officeDocument/2006/relationships/hyperlink" Target="http://www.cmhda.org/go/Portals/0/CMHDA%20Files/Breaking%20News/1209_September/Behavorial_Health_Subaccount_Percent_Allocations_2012-13_(9-18-12).xlsx" TargetMode="External" /><Relationship Id="rId5" Type="http://schemas.openxmlformats.org/officeDocument/2006/relationships/hyperlink" Target="http://www.dss.cahwnet.gov/lettersnotices/entres/getinfo/cfl/2012-13/12_13-16.pdf" TargetMode="External" /><Relationship Id="rId6" Type="http://schemas.openxmlformats.org/officeDocument/2006/relationships/hyperlink" Target="http://www.sco.ca.gov/ard_local_apportionment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protectiveservices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hyperlink" Target="http://www.sco.ca.gov/ard_payments_lrf_recon.html" TargetMode="External" /><Relationship Id="rId6" Type="http://schemas.openxmlformats.org/officeDocument/2006/relationships/hyperlink" Target="http://www.sco.ca.gov/ard_payments_lrf_recon.html" TargetMode="External" /><Relationship Id="rId7" Type="http://schemas.openxmlformats.org/officeDocument/2006/relationships/hyperlink" Target="http://www.sco.ca.gov/ard_payments_lrf_recon.html" TargetMode="External" /><Relationship Id="rId8" Type="http://schemas.openxmlformats.org/officeDocument/2006/relationships/hyperlink" Target="http://www.sco.ca.gov/ard_payments_lrf_recon.html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protectiveservices.html" TargetMode="External" /><Relationship Id="rId2" Type="http://schemas.openxmlformats.org/officeDocument/2006/relationships/hyperlink" Target="http://www.sco.ca.gov/ard_payments_behavioralhealth.html" TargetMode="External" /><Relationship Id="rId3" Type="http://schemas.openxmlformats.org/officeDocument/2006/relationships/hyperlink" Target="http://www.sco.ca.gov/ard_payments_womenandchildrenresidemtialtreatment.html" TargetMode="External" /><Relationship Id="rId4" Type="http://schemas.openxmlformats.org/officeDocument/2006/relationships/hyperlink" Target="http://www.sco.ca.gov/ard_payments_protectiveservices.html" TargetMode="External" /><Relationship Id="rId5" Type="http://schemas.openxmlformats.org/officeDocument/2006/relationships/hyperlink" Target="http://www.sco.ca.gov/ard_payments_behavioralhealth.html" TargetMode="External" /><Relationship Id="rId6" Type="http://schemas.openxmlformats.org/officeDocument/2006/relationships/hyperlink" Target="http://www.sco.ca.gov/ard_payments_womenandchildrenresidemtialtreatment.html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hyperlink" Target="http://www.sco.ca.gov/ard_payments_lrf_recon.html" TargetMode="External" /><Relationship Id="rId6" Type="http://schemas.openxmlformats.org/officeDocument/2006/relationships/hyperlink" Target="http://www.sco.ca.gov/ard_payments_lrf_recon.html" TargetMode="External" /><Relationship Id="rId7" Type="http://schemas.openxmlformats.org/officeDocument/2006/relationships/hyperlink" Target="http://www.sco.ca.gov/ard_payments_lrf_recon.html" TargetMode="External" /><Relationship Id="rId8" Type="http://schemas.openxmlformats.org/officeDocument/2006/relationships/hyperlink" Target="http://www.sco.ca.gov/ard_payments_lrf_recon.html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63"/>
  <sheetViews>
    <sheetView tabSelected="1" zoomScalePageLayoutView="0" workbookViewId="0" topLeftCell="A1">
      <selection activeCell="M38" sqref="M38"/>
    </sheetView>
  </sheetViews>
  <sheetFormatPr defaultColWidth="9.140625" defaultRowHeight="15"/>
  <sheetData>
    <row r="1" ht="15.75">
      <c r="A1" s="338" t="s">
        <v>112</v>
      </c>
    </row>
    <row r="2" ht="15.75">
      <c r="A2" s="338"/>
    </row>
    <row r="3" ht="15.75">
      <c r="A3" s="338" t="s">
        <v>287</v>
      </c>
    </row>
    <row r="4" ht="15.75">
      <c r="A4" s="338"/>
    </row>
    <row r="5" ht="15.75">
      <c r="A5" s="338"/>
    </row>
    <row r="6" ht="15.75">
      <c r="A6" s="602" t="s">
        <v>254</v>
      </c>
    </row>
    <row r="7" ht="15.75">
      <c r="A7" s="338"/>
    </row>
    <row r="8" ht="15.75">
      <c r="A8" s="339" t="s">
        <v>253</v>
      </c>
    </row>
    <row r="9" ht="15.75">
      <c r="A9" s="339" t="s">
        <v>113</v>
      </c>
    </row>
    <row r="10" ht="15.75">
      <c r="A10" s="339" t="s">
        <v>289</v>
      </c>
    </row>
    <row r="11" spans="1:2" ht="15.75">
      <c r="A11" s="339"/>
      <c r="B11" s="494" t="s">
        <v>290</v>
      </c>
    </row>
    <row r="12" spans="1:2" ht="15.75">
      <c r="A12" s="339" t="s">
        <v>291</v>
      </c>
      <c r="B12" s="494"/>
    </row>
    <row r="13" ht="15.75">
      <c r="A13" s="339" t="s">
        <v>288</v>
      </c>
    </row>
    <row r="14" spans="1:2" ht="15.75">
      <c r="A14" s="339"/>
      <c r="B14" s="492" t="s">
        <v>259</v>
      </c>
    </row>
    <row r="15" spans="1:6" ht="15.75">
      <c r="A15" s="339"/>
      <c r="B15" s="492" t="s">
        <v>258</v>
      </c>
      <c r="E15" s="340"/>
      <c r="F15" s="340"/>
    </row>
    <row r="16" spans="1:6" ht="15.75">
      <c r="A16" s="339"/>
      <c r="B16" s="341" t="s">
        <v>121</v>
      </c>
      <c r="F16" s="340"/>
    </row>
    <row r="17" spans="1:6" ht="15.75">
      <c r="A17" s="339"/>
      <c r="B17" s="341"/>
      <c r="F17" s="340"/>
    </row>
    <row r="18" spans="1:6" ht="15.75">
      <c r="A18" s="371" t="s">
        <v>255</v>
      </c>
      <c r="B18" s="372"/>
      <c r="F18" s="340"/>
    </row>
    <row r="19" spans="1:6" ht="15.75">
      <c r="A19" s="371"/>
      <c r="B19" s="372"/>
      <c r="F19" s="340"/>
    </row>
    <row r="20" spans="1:2" ht="15.75">
      <c r="A20" s="373"/>
      <c r="B20" s="371"/>
    </row>
    <row r="21" ht="15.75">
      <c r="A21" s="602" t="s">
        <v>300</v>
      </c>
    </row>
    <row r="22" ht="15.75">
      <c r="A22" s="338"/>
    </row>
    <row r="23" ht="15.75">
      <c r="A23" s="339" t="s">
        <v>114</v>
      </c>
    </row>
    <row r="24" ht="15.75">
      <c r="A24" s="339" t="s">
        <v>115</v>
      </c>
    </row>
    <row r="25" ht="15.75">
      <c r="A25" s="339" t="s">
        <v>301</v>
      </c>
    </row>
    <row r="26" ht="15.75">
      <c r="A26" s="339" t="s">
        <v>302</v>
      </c>
    </row>
    <row r="27" ht="15.75">
      <c r="A27" s="338"/>
    </row>
    <row r="28" ht="15.75">
      <c r="A28" s="602" t="s">
        <v>117</v>
      </c>
    </row>
    <row r="29" ht="15.75">
      <c r="A29" s="338"/>
    </row>
    <row r="30" ht="15.75">
      <c r="A30" s="339" t="s">
        <v>118</v>
      </c>
    </row>
    <row r="31" ht="15.75">
      <c r="A31" s="339" t="s">
        <v>303</v>
      </c>
    </row>
    <row r="32" ht="15.75">
      <c r="A32" s="338"/>
    </row>
    <row r="33" ht="15.75">
      <c r="A33" s="602" t="s">
        <v>119</v>
      </c>
    </row>
    <row r="34" ht="15.75">
      <c r="A34" s="338"/>
    </row>
    <row r="35" ht="15.75">
      <c r="A35" s="339" t="s">
        <v>120</v>
      </c>
    </row>
    <row r="36" ht="15.75">
      <c r="A36" s="339" t="s">
        <v>303</v>
      </c>
    </row>
    <row r="38" ht="15.75">
      <c r="A38" s="602" t="s">
        <v>116</v>
      </c>
    </row>
    <row r="39" ht="15.75">
      <c r="A39" s="338"/>
    </row>
    <row r="40" ht="15.75">
      <c r="A40" s="339" t="s">
        <v>122</v>
      </c>
    </row>
    <row r="41" ht="15.75">
      <c r="A41" s="338"/>
    </row>
    <row r="43" ht="15.75">
      <c r="A43" s="602" t="s">
        <v>256</v>
      </c>
    </row>
    <row r="44" ht="15.75">
      <c r="A44" s="338"/>
    </row>
    <row r="45" ht="15.75">
      <c r="A45" s="339" t="s">
        <v>293</v>
      </c>
    </row>
    <row r="46" spans="1:2" ht="15.75">
      <c r="A46" s="339"/>
      <c r="B46" s="339" t="s">
        <v>292</v>
      </c>
    </row>
    <row r="47" ht="15.75">
      <c r="A47" s="339" t="s">
        <v>113</v>
      </c>
    </row>
    <row r="48" ht="15.75">
      <c r="A48" s="339" t="s">
        <v>284</v>
      </c>
    </row>
    <row r="49" spans="1:2" ht="15.75">
      <c r="A49" s="339"/>
      <c r="B49" s="339" t="s">
        <v>294</v>
      </c>
    </row>
    <row r="50" spans="1:2" ht="15.75">
      <c r="A50" s="339" t="s">
        <v>295</v>
      </c>
      <c r="B50" s="339"/>
    </row>
    <row r="51" spans="1:2" ht="15.75">
      <c r="A51" s="339"/>
      <c r="B51" s="339" t="s">
        <v>296</v>
      </c>
    </row>
    <row r="52" spans="1:2" ht="15.75">
      <c r="A52" s="339" t="s">
        <v>297</v>
      </c>
      <c r="B52" s="339"/>
    </row>
    <row r="53" spans="1:2" ht="15.75">
      <c r="A53" s="339" t="s">
        <v>298</v>
      </c>
      <c r="B53" s="339"/>
    </row>
    <row r="54" ht="15.75">
      <c r="A54" s="339" t="s">
        <v>299</v>
      </c>
    </row>
    <row r="55" spans="1:2" ht="15.75">
      <c r="A55" s="339"/>
      <c r="B55" s="492" t="s">
        <v>257</v>
      </c>
    </row>
    <row r="56" spans="1:6" ht="15.75">
      <c r="A56" s="339"/>
      <c r="B56" s="494" t="s">
        <v>260</v>
      </c>
      <c r="E56" s="340"/>
      <c r="F56" s="495" t="s">
        <v>261</v>
      </c>
    </row>
    <row r="57" spans="1:6" ht="15.75">
      <c r="A57" s="339"/>
      <c r="B57" s="492" t="s">
        <v>262</v>
      </c>
      <c r="F57" s="495" t="s">
        <v>263</v>
      </c>
    </row>
    <row r="58" spans="1:6" ht="15.75">
      <c r="A58" s="339"/>
      <c r="B58" s="341" t="s">
        <v>264</v>
      </c>
      <c r="F58" s="495"/>
    </row>
    <row r="59" spans="1:6" ht="15.75">
      <c r="A59" s="339"/>
      <c r="B59" s="341"/>
      <c r="F59" s="495"/>
    </row>
    <row r="60" spans="1:6" ht="15.75">
      <c r="A60" s="371" t="s">
        <v>278</v>
      </c>
      <c r="B60" s="372"/>
      <c r="F60" s="340"/>
    </row>
    <row r="61" spans="1:6" ht="15.75">
      <c r="A61" s="371"/>
      <c r="B61" s="586" t="s">
        <v>276</v>
      </c>
      <c r="F61" s="340"/>
    </row>
    <row r="62" spans="1:6" ht="15.75">
      <c r="A62" s="371"/>
      <c r="B62" s="586" t="s">
        <v>277</v>
      </c>
      <c r="F62" s="340"/>
    </row>
    <row r="63" spans="1:2" ht="15.75">
      <c r="A63" s="373"/>
      <c r="B63" s="60"/>
    </row>
  </sheetData>
  <sheetProtection/>
  <hyperlinks>
    <hyperlink ref="B14" r:id="rId1" display="Statewide Distribution"/>
    <hyperlink ref="B16" r:id="rId2" display="Behavioral Health Distribution"/>
    <hyperlink ref="B55" r:id="rId3" display="Statewide Distribution"/>
    <hyperlink ref="B57" r:id="rId4" display="Behavioral Health Distribution"/>
    <hyperlink ref="B15" r:id="rId5" display="Protective Services Distribution"/>
    <hyperlink ref="B58" r:id="rId6" display="Juvenile Justice GROWTH Distribution"/>
  </hyperlinks>
  <printOptions/>
  <pageMargins left="0" right="0" top="0" bottom="0" header="0.5" footer="0.5"/>
  <pageSetup fitToHeight="1" fitToWidth="1" horizontalDpi="600" verticalDpi="600" orientation="portrait" scale="7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K17"/>
  <sheetViews>
    <sheetView zoomScalePageLayoutView="0" workbookViewId="0" topLeftCell="A1">
      <selection activeCell="N27" sqref="N27"/>
    </sheetView>
  </sheetViews>
  <sheetFormatPr defaultColWidth="9.140625" defaultRowHeight="15"/>
  <sheetData>
    <row r="1" spans="1:11" ht="18.75">
      <c r="A1" s="604" t="s">
        <v>124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1" ht="18.75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</row>
    <row r="4" spans="2:6" ht="15">
      <c r="B4" s="24" t="s">
        <v>132</v>
      </c>
      <c r="C4" s="24"/>
      <c r="D4" s="24"/>
      <c r="E4" s="24" t="s">
        <v>133</v>
      </c>
      <c r="F4" s="24"/>
    </row>
    <row r="5" spans="2:6" ht="15">
      <c r="B5" s="24" t="s">
        <v>134</v>
      </c>
      <c r="D5" s="24"/>
      <c r="E5" s="24" t="s">
        <v>135</v>
      </c>
      <c r="F5" s="24"/>
    </row>
    <row r="6" spans="2:6" ht="15">
      <c r="B6" s="24"/>
      <c r="D6" s="24"/>
      <c r="E6" s="24"/>
      <c r="F6" s="24"/>
    </row>
    <row r="8" ht="15">
      <c r="B8" s="343" t="s">
        <v>131</v>
      </c>
    </row>
    <row r="9" ht="15">
      <c r="B9" s="343" t="s">
        <v>123</v>
      </c>
    </row>
    <row r="10" ht="15">
      <c r="B10" s="343" t="s">
        <v>136</v>
      </c>
    </row>
    <row r="11" ht="15">
      <c r="B11" s="344" t="s">
        <v>137</v>
      </c>
    </row>
    <row r="12" ht="15">
      <c r="B12" s="344" t="s">
        <v>125</v>
      </c>
    </row>
    <row r="13" ht="15">
      <c r="B13" s="344" t="s">
        <v>127</v>
      </c>
    </row>
    <row r="14" ht="15">
      <c r="B14" s="344" t="s">
        <v>126</v>
      </c>
    </row>
    <row r="15" ht="15">
      <c r="B15" s="344" t="s">
        <v>128</v>
      </c>
    </row>
    <row r="16" ht="15">
      <c r="B16" s="344" t="s">
        <v>129</v>
      </c>
    </row>
    <row r="17" ht="15">
      <c r="B17" s="344" t="s">
        <v>130</v>
      </c>
    </row>
  </sheetData>
  <sheetProtection/>
  <mergeCells count="2">
    <mergeCell ref="A1:K1"/>
    <mergeCell ref="A2:K2"/>
  </mergeCells>
  <printOptions/>
  <pageMargins left="0.25" right="0.25" top="1" bottom="1" header="0.5" footer="0"/>
  <pageSetup horizontalDpi="600" verticalDpi="600" orientation="portrait" r:id="rId1"/>
  <headerFooter alignWithMargins="0">
    <oddFooter>&amp;L&amp;8&amp;Z&amp;F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0"/>
  <sheetViews>
    <sheetView zoomScalePageLayoutView="0" workbookViewId="0" topLeftCell="A34">
      <selection activeCell="F43" sqref="F43:F61"/>
    </sheetView>
  </sheetViews>
  <sheetFormatPr defaultColWidth="9.140625" defaultRowHeight="15" outlineLevelRow="1"/>
  <cols>
    <col min="1" max="1" width="27.57421875" style="2" customWidth="1"/>
    <col min="2" max="2" width="15.28125" style="2" bestFit="1" customWidth="1"/>
    <col min="3" max="4" width="15.00390625" style="2" customWidth="1"/>
    <col min="5" max="5" width="5.140625" style="2" customWidth="1"/>
    <col min="6" max="6" width="18.00390625" style="2" customWidth="1"/>
    <col min="7" max="7" width="15.7109375" style="2" customWidth="1"/>
    <col min="8" max="8" width="15.8515625" style="2" customWidth="1"/>
    <col min="9" max="16384" width="9.140625" style="2" customWidth="1"/>
  </cols>
  <sheetData>
    <row r="1" spans="1:4" ht="15.75" customHeight="1" thickBot="1">
      <c r="A1" s="186"/>
      <c r="B1" s="186" t="s">
        <v>100</v>
      </c>
      <c r="C1" s="188" t="s">
        <v>160</v>
      </c>
      <c r="D1" s="193"/>
    </row>
    <row r="2" spans="1:5" ht="16.5" thickBot="1">
      <c r="A2" s="1"/>
      <c r="B2" s="187" t="s">
        <v>97</v>
      </c>
      <c r="C2" s="189" t="s">
        <v>243</v>
      </c>
      <c r="D2" s="194"/>
      <c r="E2" s="183"/>
    </row>
    <row r="3" spans="1:4" ht="15.75">
      <c r="A3" s="1"/>
      <c r="B3" s="5"/>
      <c r="C3" s="1"/>
      <c r="D3" s="195"/>
    </row>
    <row r="4" spans="1:7" ht="15" customHeight="1">
      <c r="A4" s="605" t="s">
        <v>249</v>
      </c>
      <c r="B4" s="605"/>
      <c r="C4" s="605"/>
      <c r="D4" s="605"/>
      <c r="E4" s="605"/>
      <c r="F4" s="605"/>
      <c r="G4" s="605"/>
    </row>
    <row r="5" spans="1:7" ht="8.25" customHeight="1">
      <c r="A5" s="375"/>
      <c r="B5" s="375"/>
      <c r="C5" s="375"/>
      <c r="D5" s="375"/>
      <c r="E5" s="375"/>
      <c r="F5" s="375"/>
      <c r="G5" s="375"/>
    </row>
    <row r="6" spans="1:7" ht="8.25" customHeight="1" thickBot="1">
      <c r="A6" s="605"/>
      <c r="B6" s="605"/>
      <c r="C6" s="605"/>
      <c r="D6" s="605"/>
      <c r="E6" s="605"/>
      <c r="F6" s="605"/>
      <c r="G6" s="605"/>
    </row>
    <row r="7" spans="2:6" ht="15.75" customHeight="1" thickBot="1">
      <c r="B7" s="3" t="s">
        <v>98</v>
      </c>
      <c r="C7" s="368">
        <f>+B20/B35</f>
        <v>0.6419752599606716</v>
      </c>
      <c r="D7" s="196"/>
      <c r="F7" s="151"/>
    </row>
    <row r="8" spans="2:6" ht="16.5" thickBot="1">
      <c r="B8" s="5"/>
      <c r="F8" s="151"/>
    </row>
    <row r="9" spans="1:8" ht="65.25" customHeight="1" thickBot="1">
      <c r="A9" s="216" t="s">
        <v>1</v>
      </c>
      <c r="B9" s="166" t="s">
        <v>2</v>
      </c>
      <c r="C9" s="168" t="s">
        <v>96</v>
      </c>
      <c r="D9" s="217" t="s">
        <v>101</v>
      </c>
      <c r="F9" s="244" t="str">
        <f>CONCATENATE(C2," ","County Portion (% Of Alloc Per CFL 12/13-16 &amp; BH Spreadsheet")</f>
        <v>San Mateo County Portion (% Of Alloc Per CFL 12/13-16 &amp; BH Spreadsheet</v>
      </c>
      <c r="G9" s="245" t="str">
        <f>CONCATENATE(C2," ","County Portion")</f>
        <v>San Mateo County Portion</v>
      </c>
      <c r="H9" s="17"/>
    </row>
    <row r="10" spans="1:8" ht="6.75" customHeight="1" thickBot="1">
      <c r="A10" s="165"/>
      <c r="B10" s="174"/>
      <c r="C10" s="174"/>
      <c r="D10" s="175"/>
      <c r="F10" s="161"/>
      <c r="G10" s="162"/>
      <c r="H10" s="183"/>
    </row>
    <row r="11" spans="1:8" ht="15">
      <c r="A11" s="503" t="s">
        <v>83</v>
      </c>
      <c r="B11" s="501">
        <v>1640400000</v>
      </c>
      <c r="C11" s="505">
        <f>+B11/B20</f>
        <v>0.6297362662674191</v>
      </c>
      <c r="D11" s="509">
        <f>B11/B$35</f>
        <v>0.4042751032436891</v>
      </c>
      <c r="F11" s="477">
        <f>SUMIF($A$73:$A$131,$C$2,B$73:B$131)</f>
        <v>0.0097324309</v>
      </c>
      <c r="G11" s="241">
        <f>B11*F11</f>
        <v>15965079.64836</v>
      </c>
      <c r="H11" s="184"/>
    </row>
    <row r="12" spans="1:8" ht="15">
      <c r="A12" s="590" t="s">
        <v>84</v>
      </c>
      <c r="B12" s="502">
        <v>959396000</v>
      </c>
      <c r="C12" s="506">
        <f>B12/B20</f>
        <v>0.36830434949518215</v>
      </c>
      <c r="D12" s="510">
        <f>B12/B$35</f>
        <v>0.23644228051181562</v>
      </c>
      <c r="F12" s="477">
        <f>SUMIF($A$73:$A$131,$C$2,F$73:F$131)</f>
        <v>0.008039011364921843</v>
      </c>
      <c r="G12" s="241">
        <f>B12*F12</f>
        <v>7712595.347460557</v>
      </c>
      <c r="H12" s="184"/>
    </row>
    <row r="13" spans="1:8" ht="15.75" thickBot="1">
      <c r="A13" s="504" t="s">
        <v>88</v>
      </c>
      <c r="B13" s="502">
        <v>5104000</v>
      </c>
      <c r="C13" s="506">
        <f>B13/B20</f>
        <v>0.0019593842373987484</v>
      </c>
      <c r="D13" s="510">
        <f>B13/B$35</f>
        <v>0.0012578762051669039</v>
      </c>
      <c r="F13" s="477">
        <f>SUMIF(A$14:A$19,C$2,C$14:C$19)</f>
        <v>0</v>
      </c>
      <c r="G13" s="241">
        <f>B13*F13</f>
        <v>0</v>
      </c>
      <c r="H13" s="184"/>
    </row>
    <row r="14" spans="1:8" ht="15" outlineLevel="1">
      <c r="A14" s="401" t="s">
        <v>266</v>
      </c>
      <c r="B14" s="589">
        <v>687665</v>
      </c>
      <c r="C14" s="507">
        <f aca="true" t="shared" si="0" ref="C14:C19">B14/B$13</f>
        <v>0.13473060344827587</v>
      </c>
      <c r="D14" s="330"/>
      <c r="F14" s="497"/>
      <c r="G14" s="498"/>
      <c r="H14" s="184"/>
    </row>
    <row r="15" spans="1:8" ht="15" outlineLevel="1">
      <c r="A15" s="401" t="s">
        <v>267</v>
      </c>
      <c r="B15" s="589">
        <v>728485</v>
      </c>
      <c r="C15" s="507">
        <f t="shared" si="0"/>
        <v>0.14272825235109718</v>
      </c>
      <c r="D15" s="330"/>
      <c r="F15" s="497"/>
      <c r="G15" s="498"/>
      <c r="H15" s="184"/>
    </row>
    <row r="16" spans="1:8" ht="15" outlineLevel="1">
      <c r="A16" s="401" t="s">
        <v>268</v>
      </c>
      <c r="B16" s="589">
        <v>2132488</v>
      </c>
      <c r="C16" s="507">
        <f t="shared" si="0"/>
        <v>0.41780721003134796</v>
      </c>
      <c r="D16" s="330"/>
      <c r="F16" s="497"/>
      <c r="G16" s="498"/>
      <c r="H16" s="184"/>
    </row>
    <row r="17" spans="1:8" ht="15" outlineLevel="1">
      <c r="A17" s="401" t="s">
        <v>269</v>
      </c>
      <c r="B17" s="589">
        <v>553940</v>
      </c>
      <c r="C17" s="507">
        <f t="shared" si="0"/>
        <v>0.10853056426332289</v>
      </c>
      <c r="D17" s="330"/>
      <c r="F17" s="497"/>
      <c r="G17" s="498"/>
      <c r="H17" s="184"/>
    </row>
    <row r="18" spans="1:8" ht="15" outlineLevel="1">
      <c r="A18" s="401" t="s">
        <v>270</v>
      </c>
      <c r="B18" s="589">
        <v>182286</v>
      </c>
      <c r="C18" s="507">
        <f t="shared" si="0"/>
        <v>0.03571434169278997</v>
      </c>
      <c r="D18" s="330"/>
      <c r="F18" s="497"/>
      <c r="G18" s="498"/>
      <c r="H18" s="184"/>
    </row>
    <row r="19" spans="1:8" ht="15.75" outlineLevel="1" thickBot="1">
      <c r="A19" s="401" t="s">
        <v>271</v>
      </c>
      <c r="B19" s="589">
        <v>819136</v>
      </c>
      <c r="C19" s="507">
        <f t="shared" si="0"/>
        <v>0.16048902821316616</v>
      </c>
      <c r="D19" s="330"/>
      <c r="F19" s="497"/>
      <c r="G19" s="498"/>
      <c r="H19" s="184"/>
    </row>
    <row r="20" spans="1:8" ht="15.75" thickBot="1">
      <c r="A20" s="210" t="s">
        <v>41</v>
      </c>
      <c r="B20" s="211">
        <f>SUM(B11:B13)</f>
        <v>2604900000</v>
      </c>
      <c r="C20" s="508">
        <f>SUM(C11:C13)</f>
        <v>0.9999999999999999</v>
      </c>
      <c r="D20" s="331">
        <f>SUM(D11:D13)</f>
        <v>0.6419752599606716</v>
      </c>
      <c r="F20" s="181"/>
      <c r="G20" s="190">
        <f>SUM(G11:G13)</f>
        <v>23677674.99582056</v>
      </c>
      <c r="H20" s="185"/>
    </row>
    <row r="22" ht="15.75" thickBot="1"/>
    <row r="23" spans="2:6" ht="15.75" customHeight="1" thickBot="1">
      <c r="B23" s="3" t="s">
        <v>99</v>
      </c>
      <c r="C23" s="368">
        <f>+B33/B35</f>
        <v>0.3580247400393283</v>
      </c>
      <c r="D23" s="196"/>
      <c r="F23" s="151"/>
    </row>
    <row r="24" ht="15.75" customHeight="1" thickBot="1">
      <c r="F24" s="151"/>
    </row>
    <row r="25" spans="1:8" ht="60.75" thickBot="1">
      <c r="A25" s="216" t="s">
        <v>1</v>
      </c>
      <c r="B25" s="166" t="s">
        <v>2</v>
      </c>
      <c r="C25" s="168" t="s">
        <v>96</v>
      </c>
      <c r="D25" s="217" t="s">
        <v>101</v>
      </c>
      <c r="E25" s="15"/>
      <c r="F25" s="244" t="str">
        <f>CONCATENATE(C2," ","County Portion (% of Allocation)")</f>
        <v>San Mateo County Portion (% of Allocation)</v>
      </c>
      <c r="G25" s="245" t="str">
        <f>CONCATENATE(C2," ","County Portion")</f>
        <v>San Mateo County Portion</v>
      </c>
      <c r="H25" s="17"/>
    </row>
    <row r="26" spans="1:8" ht="5.25" customHeight="1" thickBot="1">
      <c r="A26" s="176"/>
      <c r="B26" s="179"/>
      <c r="C26" s="179"/>
      <c r="D26" s="180"/>
      <c r="F26" s="163"/>
      <c r="G26" s="164"/>
      <c r="H26" s="183"/>
    </row>
    <row r="27" spans="1:8" ht="15.75" customHeight="1">
      <c r="A27" s="125" t="s">
        <v>85</v>
      </c>
      <c r="B27" s="257">
        <v>496429000</v>
      </c>
      <c r="C27" s="315">
        <f>+B27/B33</f>
        <v>0.3417207429032038</v>
      </c>
      <c r="D27" s="332">
        <f>B27/B$35</f>
        <v>0.1223444801439657</v>
      </c>
      <c r="F27" s="479">
        <f>SUMIF($A$147:$A$206,$C$2,B$147:B$206)</f>
        <v>0.020628</v>
      </c>
      <c r="G27" s="191">
        <f>B27*F27</f>
        <v>10240337.412</v>
      </c>
      <c r="H27" s="183"/>
    </row>
    <row r="28" spans="1:8" ht="15">
      <c r="A28" s="125" t="s">
        <v>86</v>
      </c>
      <c r="B28" s="258">
        <v>842900000</v>
      </c>
      <c r="C28" s="315">
        <f>+B28/B33</f>
        <v>0.580216736316997</v>
      </c>
      <c r="D28" s="332">
        <f>B28/B$35</f>
        <v>0.20773194618636037</v>
      </c>
      <c r="F28" s="480">
        <f>SUMIF($A$147:$A$206,$C$2,F$147:F$206)</f>
        <v>0.015961</v>
      </c>
      <c r="G28" s="192">
        <f>B28*F28</f>
        <v>13453526.9</v>
      </c>
      <c r="H28" s="183"/>
    </row>
    <row r="29" spans="1:8" ht="15">
      <c r="A29" s="125" t="s">
        <v>87</v>
      </c>
      <c r="B29" s="258">
        <v>14600000</v>
      </c>
      <c r="C29" s="315">
        <f>+B29/B33</f>
        <v>0.010050022956730522</v>
      </c>
      <c r="D29" s="332">
        <f>B29/B$35</f>
        <v>0.003598156856472727</v>
      </c>
      <c r="F29" s="480">
        <f>SUMIF($A$219:$A$278,$C$2,B$219:B$278)</f>
        <v>0.012412</v>
      </c>
      <c r="G29" s="192">
        <f>B29*F29</f>
        <v>181215.19999999998</v>
      </c>
      <c r="H29" s="183"/>
    </row>
    <row r="30" spans="1:8" ht="15">
      <c r="A30" s="231" t="s">
        <v>105</v>
      </c>
      <c r="B30" s="258">
        <v>98804000</v>
      </c>
      <c r="C30" s="315">
        <f>+B30/B33</f>
        <v>0.06801249782306866</v>
      </c>
      <c r="D30" s="332">
        <f>B30/B$35</f>
        <v>0.02435015685252954</v>
      </c>
      <c r="F30" s="481">
        <f>SUMIF($A$219:$A$278,$C$2,F$219:F$278)</f>
        <v>0.01844549886644265</v>
      </c>
      <c r="G30" s="327">
        <f>G31+G32</f>
        <v>1822489.0699999998</v>
      </c>
      <c r="H30" s="183"/>
    </row>
    <row r="31" spans="1:8" ht="15" outlineLevel="1">
      <c r="A31" s="401" t="s">
        <v>158</v>
      </c>
      <c r="B31" s="402">
        <f>B30*C31</f>
        <v>93351007.24000001</v>
      </c>
      <c r="C31" s="374">
        <v>0.94481</v>
      </c>
      <c r="D31" s="332"/>
      <c r="F31" s="482">
        <f>SUMIF($A$291:$A$350,$C$2,B$291:B$350)</f>
        <v>0.01783661997046492</v>
      </c>
      <c r="G31" s="400">
        <f>B31*F31</f>
        <v>1665066.4399999997</v>
      </c>
      <c r="H31" s="183"/>
    </row>
    <row r="32" spans="1:8" ht="15.75" outlineLevel="1" thickBot="1">
      <c r="A32" s="401" t="s">
        <v>159</v>
      </c>
      <c r="B32" s="402">
        <f>B30*C32</f>
        <v>5452992.760000001</v>
      </c>
      <c r="C32" s="374">
        <v>0.05519</v>
      </c>
      <c r="D32" s="332"/>
      <c r="F32" s="482">
        <f>SUMIF($A$291:$A$350,$C$2,F$291:F$350)</f>
        <v>0.028869033378287494</v>
      </c>
      <c r="G32" s="400">
        <f>B32*F32</f>
        <v>157422.63000000006</v>
      </c>
      <c r="H32" s="183"/>
    </row>
    <row r="33" spans="1:8" ht="15.75" thickBot="1">
      <c r="A33" s="210" t="s">
        <v>41</v>
      </c>
      <c r="B33" s="212">
        <f>SUM(B27:B30)</f>
        <v>1452733000</v>
      </c>
      <c r="C33" s="333">
        <f>SUM(C27:C30)</f>
        <v>1</v>
      </c>
      <c r="D33" s="331">
        <f>SUM(D27:D30)</f>
        <v>0.3580247400393284</v>
      </c>
      <c r="F33" s="328"/>
      <c r="G33" s="329">
        <f>SUM(G27:G32)</f>
        <v>27520057.652</v>
      </c>
      <c r="H33" s="183"/>
    </row>
    <row r="34" ht="15.75" thickBot="1">
      <c r="H34" s="183"/>
    </row>
    <row r="35" spans="1:8" ht="15.75" thickBot="1">
      <c r="A35" s="135" t="s">
        <v>89</v>
      </c>
      <c r="B35" s="136">
        <f>+B20+B33</f>
        <v>4057633000</v>
      </c>
      <c r="C35" s="137"/>
      <c r="D35" s="198">
        <f>D20+D33</f>
        <v>1</v>
      </c>
      <c r="H35" s="183"/>
    </row>
    <row r="37" spans="1:7" ht="15.75">
      <c r="A37" s="609" t="s">
        <v>142</v>
      </c>
      <c r="B37" s="609"/>
      <c r="C37" s="609"/>
      <c r="D37" s="609"/>
      <c r="E37" s="609"/>
      <c r="F37" s="609"/>
      <c r="G37" s="609"/>
    </row>
    <row r="38" spans="1:7" ht="15">
      <c r="A38" s="605"/>
      <c r="B38" s="605"/>
      <c r="C38" s="605"/>
      <c r="D38" s="605"/>
      <c r="E38" s="605"/>
      <c r="F38" s="605"/>
      <c r="G38" s="605"/>
    </row>
    <row r="39" spans="1:7" ht="15">
      <c r="A39" t="s">
        <v>40</v>
      </c>
      <c r="B39"/>
      <c r="C39" s="39">
        <f>B11</f>
        <v>1640400000</v>
      </c>
      <c r="F39" s="2" t="s">
        <v>103</v>
      </c>
      <c r="G39" s="147">
        <f>+G11</f>
        <v>15965079.64836</v>
      </c>
    </row>
    <row r="40" ht="15.75" thickBot="1"/>
    <row r="41" spans="1:7" ht="60.75" thickBot="1">
      <c r="A41" s="246" t="s">
        <v>37</v>
      </c>
      <c r="B41" s="247" t="s">
        <v>38</v>
      </c>
      <c r="C41" s="248" t="s">
        <v>39</v>
      </c>
      <c r="D41" s="15"/>
      <c r="E41" s="15"/>
      <c r="F41" s="243" t="str">
        <f>CONCATENATE(C2," County % Distribution ")</f>
        <v>San Mateo County % Distribution </v>
      </c>
      <c r="G41" s="242" t="str">
        <f>CONCATENATE(C2," County Portion (Distribution to Programs)")</f>
        <v>San Mateo County Portion (Distribution to Programs)</v>
      </c>
    </row>
    <row r="42" spans="1:7" ht="5.25" customHeight="1" thickBot="1">
      <c r="A42" s="205"/>
      <c r="B42" s="206"/>
      <c r="C42" s="200"/>
      <c r="F42" s="199"/>
      <c r="G42" s="200"/>
    </row>
    <row r="43" spans="1:7" ht="15">
      <c r="A43" s="207" t="s">
        <v>32</v>
      </c>
      <c r="B43" s="259">
        <v>0.2297286671</v>
      </c>
      <c r="C43" s="208">
        <f>ROUND(C$39*B43,0)</f>
        <v>376846906</v>
      </c>
      <c r="F43" s="262">
        <v>0.1418001943</v>
      </c>
      <c r="G43" s="208">
        <f>G$39*F43</f>
        <v>2263851.3961524237</v>
      </c>
    </row>
    <row r="44" spans="1:7" ht="15">
      <c r="A44" s="202" t="s">
        <v>33</v>
      </c>
      <c r="B44" s="260">
        <v>0.2358654156</v>
      </c>
      <c r="C44" s="203">
        <f aca="true" t="shared" si="1" ref="C44:C52">ROUND(C$39*B44,0)</f>
        <v>386913628</v>
      </c>
      <c r="F44" s="263">
        <v>0.1676692953</v>
      </c>
      <c r="G44" s="203">
        <f>G$39*F44</f>
        <v>2676853.654048893</v>
      </c>
    </row>
    <row r="45" spans="1:7" ht="15">
      <c r="A45" s="202" t="s">
        <v>34</v>
      </c>
      <c r="B45" s="260">
        <v>0.0343200246</v>
      </c>
      <c r="C45" s="203">
        <f t="shared" si="1"/>
        <v>56298568</v>
      </c>
      <c r="F45" s="263">
        <v>0.0708449138</v>
      </c>
      <c r="G45" s="203">
        <f aca="true" t="shared" si="2" ref="G45:G52">G$39*F45</f>
        <v>1131044.6914981988</v>
      </c>
    </row>
    <row r="46" spans="1:7" ht="15">
      <c r="A46" s="202" t="s">
        <v>35</v>
      </c>
      <c r="B46" s="260">
        <v>0.0081518797</v>
      </c>
      <c r="C46" s="203">
        <f t="shared" si="1"/>
        <v>13372343</v>
      </c>
      <c r="F46" s="263">
        <v>0.012561492</v>
      </c>
      <c r="G46" s="203">
        <f t="shared" si="2"/>
        <v>200545.22028223696</v>
      </c>
    </row>
    <row r="47" spans="1:7" ht="15">
      <c r="A47" s="202" t="s">
        <v>30</v>
      </c>
      <c r="B47" s="260">
        <v>0.0332057494</v>
      </c>
      <c r="C47" s="203">
        <f t="shared" si="1"/>
        <v>54470711</v>
      </c>
      <c r="F47" s="263">
        <v>0.0696125575</v>
      </c>
      <c r="G47" s="203">
        <f t="shared" si="2"/>
        <v>1111370.0250135404</v>
      </c>
    </row>
    <row r="48" spans="1:7" ht="15">
      <c r="A48" s="202" t="s">
        <v>36</v>
      </c>
      <c r="B48" s="260">
        <v>0.4044190422</v>
      </c>
      <c r="C48" s="203">
        <f>ROUND(C$39*B48,0)</f>
        <v>663408997</v>
      </c>
      <c r="F48" s="263">
        <v>0.4963718089</v>
      </c>
      <c r="G48" s="203">
        <f t="shared" si="2"/>
        <v>7924615.464289029</v>
      </c>
    </row>
    <row r="49" spans="1:7" ht="15">
      <c r="A49" s="202" t="s">
        <v>28</v>
      </c>
      <c r="B49" s="260">
        <v>0.0110675688</v>
      </c>
      <c r="C49" s="203">
        <f t="shared" si="1"/>
        <v>18155240</v>
      </c>
      <c r="F49" s="263">
        <v>0.0118243794</v>
      </c>
      <c r="G49" s="203">
        <f t="shared" si="2"/>
        <v>188777.15891342724</v>
      </c>
    </row>
    <row r="50" spans="1:7" ht="15">
      <c r="A50" s="202" t="s">
        <v>29</v>
      </c>
      <c r="B50" s="260">
        <v>0.0233284268</v>
      </c>
      <c r="C50" s="203">
        <f t="shared" si="1"/>
        <v>38267951</v>
      </c>
      <c r="F50" s="263">
        <v>0.0293153588</v>
      </c>
      <c r="G50" s="203">
        <f t="shared" si="2"/>
        <v>468022.03816225124</v>
      </c>
    </row>
    <row r="51" spans="1:7" ht="15">
      <c r="A51" s="202" t="s">
        <v>31</v>
      </c>
      <c r="B51" s="260">
        <v>0.0199132258</v>
      </c>
      <c r="C51" s="203">
        <f t="shared" si="1"/>
        <v>32665656</v>
      </c>
      <c r="F51" s="263">
        <v>0</v>
      </c>
      <c r="G51" s="203">
        <f t="shared" si="2"/>
        <v>0</v>
      </c>
    </row>
    <row r="52" spans="1:7" ht="15.75" thickBot="1">
      <c r="A52" s="370"/>
      <c r="B52" s="261"/>
      <c r="C52" s="204">
        <f t="shared" si="1"/>
        <v>0</v>
      </c>
      <c r="F52" s="366">
        <v>0</v>
      </c>
      <c r="G52" s="204">
        <f t="shared" si="2"/>
        <v>0</v>
      </c>
    </row>
    <row r="53" spans="1:7" ht="15.75" thickBot="1">
      <c r="A53" s="213" t="s">
        <v>102</v>
      </c>
      <c r="B53" s="230">
        <f>SUM(B43:B52)</f>
        <v>1.0000000000000002</v>
      </c>
      <c r="C53" s="215">
        <f>SUM(C43:C52)</f>
        <v>1640400000</v>
      </c>
      <c r="F53" s="201">
        <f>SUM(F43:F51)</f>
        <v>1</v>
      </c>
      <c r="G53" s="215">
        <f>SUM(G43:G51)</f>
        <v>15965079.648360003</v>
      </c>
    </row>
    <row r="55" ht="8.25" customHeight="1"/>
    <row r="56" spans="1:7" ht="15">
      <c r="A56" t="s">
        <v>43</v>
      </c>
      <c r="B56"/>
      <c r="C56" s="39">
        <f>B12</f>
        <v>959396000</v>
      </c>
      <c r="F56" s="2" t="s">
        <v>103</v>
      </c>
      <c r="G56" s="147">
        <f>G12</f>
        <v>7712595.347460557</v>
      </c>
    </row>
    <row r="57" ht="15.75" thickBot="1"/>
    <row r="58" spans="1:7" ht="75.75" thickBot="1">
      <c r="A58" s="246" t="s">
        <v>37</v>
      </c>
      <c r="B58" s="247" t="s">
        <v>106</v>
      </c>
      <c r="C58" s="248" t="s">
        <v>39</v>
      </c>
      <c r="D58" s="15"/>
      <c r="E58" s="15"/>
      <c r="F58" s="243" t="str">
        <f>CONCATENATE(C2," County % Distribution (PROG/TOT PS) per BH Spreadsheet")</f>
        <v>San Mateo County % Distribution (PROG/TOT PS) per BH Spreadsheet</v>
      </c>
      <c r="G58" s="242" t="str">
        <f>CONCATENATE(C2," County Portion (Distribution to Programs)")</f>
        <v>San Mateo County Portion (Distribution to Programs)</v>
      </c>
    </row>
    <row r="59" spans="1:7" ht="4.5" customHeight="1" thickBot="1">
      <c r="A59" s="218"/>
      <c r="B59" s="219"/>
      <c r="C59" s="220"/>
      <c r="F59" s="148"/>
      <c r="G59" s="149"/>
    </row>
    <row r="60" spans="1:7" ht="15">
      <c r="A60" s="221" t="s">
        <v>44</v>
      </c>
      <c r="B60" s="265">
        <v>0.1860292278185457</v>
      </c>
      <c r="C60" s="227">
        <f>ROUND(C56*B60,0)</f>
        <v>178475697</v>
      </c>
      <c r="F60" s="266">
        <v>0.2029597891992356</v>
      </c>
      <c r="G60" s="208">
        <f>F60*G56</f>
        <v>1565346.7258996</v>
      </c>
    </row>
    <row r="61" spans="1:7" ht="15.75" thickBot="1">
      <c r="A61" s="222" t="s">
        <v>45</v>
      </c>
      <c r="B61" s="261">
        <v>0.8139707721814543</v>
      </c>
      <c r="C61" s="223">
        <f>ROUND(C56*B61,0)</f>
        <v>780920303</v>
      </c>
      <c r="F61" s="264">
        <v>0.7970402108007644</v>
      </c>
      <c r="G61" s="204">
        <f>F61*G56</f>
        <v>6147248.621560956</v>
      </c>
    </row>
    <row r="62" spans="1:7" ht="15.75" thickBot="1">
      <c r="A62" s="213" t="s">
        <v>102</v>
      </c>
      <c r="B62" s="214">
        <f>SUM(B60:B61)</f>
        <v>1</v>
      </c>
      <c r="C62" s="215">
        <f>SUM(C60:C61)</f>
        <v>959396000</v>
      </c>
      <c r="F62" s="228">
        <f>SUM(F60:F61)</f>
        <v>1</v>
      </c>
      <c r="G62" s="229">
        <f>SUM(G60:G61)</f>
        <v>7712595.347460557</v>
      </c>
    </row>
    <row r="65" spans="1:7" ht="15">
      <c r="A65" s="606" t="s">
        <v>143</v>
      </c>
      <c r="B65" s="606"/>
      <c r="C65" s="606"/>
      <c r="D65" s="606"/>
      <c r="E65" s="606"/>
      <c r="F65" s="606"/>
      <c r="G65" s="606"/>
    </row>
    <row r="66" spans="1:7" ht="15">
      <c r="A66" s="605" t="s">
        <v>249</v>
      </c>
      <c r="B66" s="605"/>
      <c r="C66" s="605"/>
      <c r="D66" s="605"/>
      <c r="E66" s="605"/>
      <c r="F66" s="605"/>
      <c r="G66" s="605"/>
    </row>
    <row r="67" spans="1:7" ht="15">
      <c r="A67" s="349"/>
      <c r="B67" s="349"/>
      <c r="C67" s="349"/>
      <c r="D67" s="349"/>
      <c r="E67" s="349"/>
      <c r="F67" s="349"/>
      <c r="G67" s="349"/>
    </row>
    <row r="68" spans="2:7" ht="15">
      <c r="B68" s="363" t="s">
        <v>140</v>
      </c>
      <c r="C68" s="367">
        <f>B11</f>
        <v>1640400000</v>
      </c>
      <c r="D68" s="349"/>
      <c r="E68" s="349"/>
      <c r="F68" s="314" t="s">
        <v>84</v>
      </c>
      <c r="G68" s="364">
        <f>B12</f>
        <v>959396000</v>
      </c>
    </row>
    <row r="69" spans="1:6" ht="15.75" thickBot="1">
      <c r="A69" s="349"/>
      <c r="B69" s="349"/>
      <c r="C69" s="349"/>
      <c r="D69" s="349"/>
      <c r="E69" s="349"/>
      <c r="F69" s="365" t="s">
        <v>141</v>
      </c>
    </row>
    <row r="70" spans="1:7" ht="15.75" thickBot="1">
      <c r="A70" s="349"/>
      <c r="B70" s="607" t="s">
        <v>83</v>
      </c>
      <c r="C70" s="608"/>
      <c r="D70" s="349"/>
      <c r="E70" s="349"/>
      <c r="F70" s="607" t="s">
        <v>84</v>
      </c>
      <c r="G70" s="608"/>
    </row>
    <row r="71" spans="1:7" ht="6" customHeight="1" thickBot="1">
      <c r="A71" s="349"/>
      <c r="B71" s="356"/>
      <c r="C71" s="357"/>
      <c r="D71" s="349"/>
      <c r="E71" s="349"/>
      <c r="F71" s="356"/>
      <c r="G71" s="357"/>
    </row>
    <row r="72" spans="1:7" ht="15">
      <c r="A72" s="369"/>
      <c r="B72" s="490" t="s">
        <v>282</v>
      </c>
      <c r="C72" s="351"/>
      <c r="F72" s="490" t="s">
        <v>283</v>
      </c>
      <c r="G72" s="351"/>
    </row>
    <row r="73" spans="1:7" ht="15">
      <c r="A73" s="360" t="s">
        <v>186</v>
      </c>
      <c r="B73" s="350">
        <v>0.0396593093</v>
      </c>
      <c r="C73" s="351">
        <f aca="true" t="shared" si="3" ref="C73:C131">C$68*B73</f>
        <v>65057130.97572</v>
      </c>
      <c r="F73" s="350">
        <v>0.05458476278108932</v>
      </c>
      <c r="G73" s="351">
        <f>G$68*F73</f>
        <v>52368403.073125966</v>
      </c>
    </row>
    <row r="74" spans="1:7" ht="15">
      <c r="A74" s="348" t="s">
        <v>187</v>
      </c>
      <c r="B74" s="350">
        <v>0.0003894383</v>
      </c>
      <c r="C74" s="351">
        <f t="shared" si="3"/>
        <v>638834.5873199999</v>
      </c>
      <c r="F74" s="350">
        <v>9.737742765298564E-05</v>
      </c>
      <c r="G74" s="351">
        <f aca="true" t="shared" si="4" ref="G74:G131">G$68*F74</f>
        <v>93423.51458056382</v>
      </c>
    </row>
    <row r="75" spans="1:7" ht="15">
      <c r="A75" s="348" t="s">
        <v>188</v>
      </c>
      <c r="B75" s="350">
        <v>0.0008072832</v>
      </c>
      <c r="C75" s="351">
        <f t="shared" si="3"/>
        <v>1324267.3612799998</v>
      </c>
      <c r="F75" s="350">
        <v>0.00046239888619045846</v>
      </c>
      <c r="G75" s="351">
        <f t="shared" si="4"/>
        <v>443623.64181558107</v>
      </c>
    </row>
    <row r="76" spans="1:7" ht="15">
      <c r="A76" s="348" t="s">
        <v>189</v>
      </c>
      <c r="B76" s="350">
        <v>0.0087549344</v>
      </c>
      <c r="C76" s="351">
        <f t="shared" si="3"/>
        <v>14361594.38976</v>
      </c>
      <c r="F76" s="350">
        <v>0.011128020815201188</v>
      </c>
      <c r="G76" s="351">
        <f t="shared" si="4"/>
        <v>10676178.658020759</v>
      </c>
    </row>
    <row r="77" spans="1:7" ht="15">
      <c r="A77" s="348" t="s">
        <v>190</v>
      </c>
      <c r="B77" s="350">
        <v>0.0012505762</v>
      </c>
      <c r="C77" s="351">
        <f t="shared" si="3"/>
        <v>2051445.19848</v>
      </c>
      <c r="F77" s="350">
        <v>0.0008968229145634285</v>
      </c>
      <c r="G77" s="351">
        <f t="shared" si="4"/>
        <v>860408.316940495</v>
      </c>
    </row>
    <row r="78" spans="1:7" ht="15">
      <c r="A78" s="348" t="s">
        <v>191</v>
      </c>
      <c r="B78" s="350">
        <v>0.0007691954</v>
      </c>
      <c r="C78" s="351">
        <f t="shared" si="3"/>
        <v>1261788.13416</v>
      </c>
      <c r="F78" s="350">
        <v>0.0012606528665501163</v>
      </c>
      <c r="G78" s="351">
        <f t="shared" si="4"/>
        <v>1209465.3175567153</v>
      </c>
    </row>
    <row r="79" spans="1:7" ht="15">
      <c r="A79" s="348" t="s">
        <v>192</v>
      </c>
      <c r="B79" s="350">
        <v>0.0223569911</v>
      </c>
      <c r="C79" s="351">
        <f t="shared" si="3"/>
        <v>36674408.200440004</v>
      </c>
      <c r="F79" s="350">
        <v>0.022868844918800767</v>
      </c>
      <c r="G79" s="351">
        <f t="shared" si="4"/>
        <v>21940278.33971778</v>
      </c>
    </row>
    <row r="80" spans="1:7" ht="15">
      <c r="A80" s="348" t="s">
        <v>193</v>
      </c>
      <c r="B80" s="350">
        <v>0.0020479701</v>
      </c>
      <c r="C80" s="351">
        <f t="shared" si="3"/>
        <v>3359490.15204</v>
      </c>
      <c r="F80" s="350">
        <v>0.0011086016201186943</v>
      </c>
      <c r="G80" s="351">
        <f t="shared" si="4"/>
        <v>1063587.9599353948</v>
      </c>
    </row>
    <row r="81" spans="1:7" ht="15">
      <c r="A81" s="348" t="s">
        <v>194</v>
      </c>
      <c r="B81" s="350">
        <v>0.0036233429</v>
      </c>
      <c r="C81" s="351">
        <f t="shared" si="3"/>
        <v>5943731.69316</v>
      </c>
      <c r="F81" s="350">
        <v>0.0031068826651717467</v>
      </c>
      <c r="G81" s="351">
        <f t="shared" si="4"/>
        <v>2980730.801435113</v>
      </c>
    </row>
    <row r="82" spans="1:7" ht="15">
      <c r="A82" s="348" t="s">
        <v>195</v>
      </c>
      <c r="B82" s="350">
        <v>0.0239516071</v>
      </c>
      <c r="C82" s="351">
        <f t="shared" si="3"/>
        <v>39290216.28684</v>
      </c>
      <c r="F82" s="350">
        <v>0.02993320339663993</v>
      </c>
      <c r="G82" s="351">
        <f t="shared" si="4"/>
        <v>28717795.605922762</v>
      </c>
    </row>
    <row r="83" spans="1:7" ht="15">
      <c r="A83" s="348" t="s">
        <v>196</v>
      </c>
      <c r="B83" s="350">
        <v>0.0014256381</v>
      </c>
      <c r="C83" s="351">
        <f t="shared" si="3"/>
        <v>2338616.73924</v>
      </c>
      <c r="F83" s="350">
        <v>0.0009952332866060714</v>
      </c>
      <c r="G83" s="351">
        <f t="shared" si="4"/>
        <v>954822.8342367185</v>
      </c>
    </row>
    <row r="84" spans="1:7" ht="15">
      <c r="A84" s="348" t="s">
        <v>197</v>
      </c>
      <c r="B84" s="350">
        <v>0.0057583101</v>
      </c>
      <c r="C84" s="351">
        <f t="shared" si="3"/>
        <v>9445931.888039999</v>
      </c>
      <c r="F84" s="350">
        <v>0.004921435091423468</v>
      </c>
      <c r="G84" s="351">
        <f t="shared" si="4"/>
        <v>4721605.1409713095</v>
      </c>
    </row>
    <row r="85" spans="1:7" ht="15">
      <c r="A85" s="348" t="s">
        <v>198</v>
      </c>
      <c r="B85" s="350">
        <v>0.0042730243</v>
      </c>
      <c r="C85" s="351">
        <f t="shared" si="3"/>
        <v>7009469.06172</v>
      </c>
      <c r="F85" s="350">
        <v>0.006111371084002517</v>
      </c>
      <c r="G85" s="351">
        <f t="shared" si="4"/>
        <v>5863224.972507679</v>
      </c>
    </row>
    <row r="86" spans="1:7" ht="15">
      <c r="A86" s="348" t="s">
        <v>199</v>
      </c>
      <c r="B86" s="350">
        <v>0.0007291462</v>
      </c>
      <c r="C86" s="351">
        <f t="shared" si="3"/>
        <v>1196091.4264800001</v>
      </c>
      <c r="F86" s="350">
        <v>0.0005336578665724027</v>
      </c>
      <c r="G86" s="351">
        <f t="shared" si="4"/>
        <v>511989.22255809687</v>
      </c>
    </row>
    <row r="87" spans="1:7" ht="15">
      <c r="A87" s="348" t="s">
        <v>200</v>
      </c>
      <c r="B87" s="350">
        <v>0.028946782</v>
      </c>
      <c r="C87" s="351">
        <f t="shared" si="3"/>
        <v>47484301.1928</v>
      </c>
      <c r="F87" s="350">
        <v>0.023415285185902388</v>
      </c>
      <c r="G87" s="351">
        <f t="shared" si="4"/>
        <v>22464530.94621401</v>
      </c>
    </row>
    <row r="88" spans="1:7" ht="15">
      <c r="A88" s="348" t="s">
        <v>201</v>
      </c>
      <c r="B88" s="350">
        <v>0.0037204412</v>
      </c>
      <c r="C88" s="351">
        <f t="shared" si="3"/>
        <v>6103011.74448</v>
      </c>
      <c r="F88" s="350">
        <v>0.0017037357983620898</v>
      </c>
      <c r="G88" s="351">
        <f t="shared" si="4"/>
        <v>1634557.3100053954</v>
      </c>
    </row>
    <row r="89" spans="1:7" ht="15">
      <c r="A89" s="348" t="s">
        <v>202</v>
      </c>
      <c r="B89" s="350">
        <v>0.0024658788</v>
      </c>
      <c r="C89" s="351">
        <f t="shared" si="3"/>
        <v>4045027.5835200003</v>
      </c>
      <c r="F89" s="350">
        <v>0.002511594241181609</v>
      </c>
      <c r="G89" s="351">
        <f t="shared" si="4"/>
        <v>2409613.4686126714</v>
      </c>
    </row>
    <row r="90" spans="1:7" ht="15">
      <c r="A90" s="348" t="s">
        <v>203</v>
      </c>
      <c r="B90" s="350">
        <v>0.0017617298</v>
      </c>
      <c r="C90" s="351">
        <f t="shared" si="3"/>
        <v>2889941.5639199996</v>
      </c>
      <c r="F90" s="350">
        <v>0.001183177280460982</v>
      </c>
      <c r="G90" s="351">
        <f t="shared" si="4"/>
        <v>1135135.5501651443</v>
      </c>
    </row>
    <row r="91" spans="1:7" ht="15">
      <c r="A91" s="348" t="s">
        <v>204</v>
      </c>
      <c r="B91" s="350">
        <v>0.316291281</v>
      </c>
      <c r="C91" s="351">
        <f t="shared" si="3"/>
        <v>518844217.35239995</v>
      </c>
      <c r="F91" s="350">
        <v>0.3842272226086044</v>
      </c>
      <c r="G91" s="351">
        <f t="shared" si="4"/>
        <v>368626060.4618046</v>
      </c>
    </row>
    <row r="92" spans="1:7" ht="15">
      <c r="A92" s="348" t="s">
        <v>205</v>
      </c>
      <c r="B92" s="350">
        <v>0.0032124699</v>
      </c>
      <c r="C92" s="351">
        <f t="shared" si="3"/>
        <v>5269735.6239599995</v>
      </c>
      <c r="F92" s="350">
        <v>0.0026342759874983354</v>
      </c>
      <c r="G92" s="351">
        <f t="shared" si="4"/>
        <v>2527313.845301953</v>
      </c>
    </row>
    <row r="93" spans="1:7" ht="15">
      <c r="A93" s="348" t="s">
        <v>206</v>
      </c>
      <c r="B93" s="350">
        <v>0.0032060305</v>
      </c>
      <c r="C93" s="351">
        <f t="shared" si="3"/>
        <v>5259172.4322</v>
      </c>
      <c r="F93" s="350">
        <v>0.0035937187111847557</v>
      </c>
      <c r="G93" s="351">
        <f t="shared" si="4"/>
        <v>3447799.35663581</v>
      </c>
    </row>
    <row r="94" spans="1:7" ht="15">
      <c r="A94" s="348" t="s">
        <v>207</v>
      </c>
      <c r="B94" s="350">
        <v>0.0009011993</v>
      </c>
      <c r="C94" s="351">
        <f t="shared" si="3"/>
        <v>1478327.33172</v>
      </c>
      <c r="F94" s="350">
        <v>0.0008199633424702754</v>
      </c>
      <c r="G94" s="351">
        <f t="shared" si="4"/>
        <v>786669.5509126124</v>
      </c>
    </row>
    <row r="95" spans="1:7" ht="15">
      <c r="A95" s="348" t="s">
        <v>208</v>
      </c>
      <c r="B95" s="350">
        <v>0.0050512528</v>
      </c>
      <c r="C95" s="351">
        <f t="shared" si="3"/>
        <v>8286075.09312</v>
      </c>
      <c r="F95" s="350">
        <v>0.0068848743038209485</v>
      </c>
      <c r="G95" s="351">
        <f t="shared" si="4"/>
        <v>6605320.867588603</v>
      </c>
    </row>
    <row r="96" spans="1:7" ht="15">
      <c r="A96" s="348" t="s">
        <v>209</v>
      </c>
      <c r="B96" s="350">
        <v>0.0070561521</v>
      </c>
      <c r="C96" s="351">
        <f t="shared" si="3"/>
        <v>11574911.90484</v>
      </c>
      <c r="F96" s="350">
        <v>0.005888052488630647</v>
      </c>
      <c r="G96" s="351">
        <f t="shared" si="4"/>
        <v>5648974.005382288</v>
      </c>
    </row>
    <row r="97" spans="1:7" ht="15">
      <c r="A97" s="348" t="s">
        <v>210</v>
      </c>
      <c r="B97" s="350">
        <v>0.0004907705</v>
      </c>
      <c r="C97" s="351">
        <f t="shared" si="3"/>
        <v>805059.9282000001</v>
      </c>
      <c r="F97" s="350">
        <v>0.0004749458219104025</v>
      </c>
      <c r="G97" s="351">
        <f t="shared" si="4"/>
        <v>455661.1217575525</v>
      </c>
    </row>
    <row r="98" spans="1:7" ht="15">
      <c r="A98" s="348" t="s">
        <v>211</v>
      </c>
      <c r="B98" s="350">
        <v>0.000515668</v>
      </c>
      <c r="C98" s="351">
        <f t="shared" si="3"/>
        <v>845901.7872000001</v>
      </c>
      <c r="F98" s="350">
        <v>0.0002594833649917824</v>
      </c>
      <c r="G98" s="351">
        <f t="shared" si="4"/>
        <v>248947.30243965608</v>
      </c>
    </row>
    <row r="99" spans="1:7" ht="15">
      <c r="A99" s="348" t="s">
        <v>212</v>
      </c>
      <c r="B99" s="350">
        <v>0.0082131378</v>
      </c>
      <c r="C99" s="351">
        <f t="shared" si="3"/>
        <v>13472831.247120002</v>
      </c>
      <c r="F99" s="350">
        <v>0.009113647560685556</v>
      </c>
      <c r="G99" s="351">
        <f t="shared" si="4"/>
        <v>8743597.01513148</v>
      </c>
    </row>
    <row r="100" spans="1:7" ht="15">
      <c r="A100" s="348" t="s">
        <v>213</v>
      </c>
      <c r="B100" s="350">
        <v>0.0028749754</v>
      </c>
      <c r="C100" s="351">
        <f t="shared" si="3"/>
        <v>4716109.64616</v>
      </c>
      <c r="F100" s="350">
        <v>0.003587183131263431</v>
      </c>
      <c r="G100" s="351">
        <f t="shared" si="4"/>
        <v>3441529.147401611</v>
      </c>
    </row>
    <row r="101" spans="1:7" ht="15">
      <c r="A101" s="348" t="s">
        <v>214</v>
      </c>
      <c r="B101" s="350">
        <v>0.0017190133</v>
      </c>
      <c r="C101" s="351">
        <f t="shared" si="3"/>
        <v>2819869.41732</v>
      </c>
      <c r="F101" s="350">
        <v>0.003654901242407215</v>
      </c>
      <c r="G101" s="351">
        <f t="shared" si="4"/>
        <v>3506497.6323605124</v>
      </c>
    </row>
    <row r="102" spans="1:7" ht="15">
      <c r="A102" s="348" t="s">
        <v>215</v>
      </c>
      <c r="B102" s="350">
        <v>0.0506150468</v>
      </c>
      <c r="C102" s="351">
        <f t="shared" si="3"/>
        <v>83028922.77072</v>
      </c>
      <c r="F102" s="350">
        <v>0.03397812192475488</v>
      </c>
      <c r="G102" s="351">
        <f t="shared" si="4"/>
        <v>32598474.26212213</v>
      </c>
    </row>
    <row r="103" spans="1:7" ht="15">
      <c r="A103" s="348" t="s">
        <v>216</v>
      </c>
      <c r="B103" s="350">
        <v>0.0083360276</v>
      </c>
      <c r="C103" s="351">
        <f t="shared" si="3"/>
        <v>13674419.675040001</v>
      </c>
      <c r="F103" s="350">
        <v>0.0037217529875206152</v>
      </c>
      <c r="G103" s="351">
        <f t="shared" si="4"/>
        <v>3570634.9292153283</v>
      </c>
    </row>
    <row r="104" spans="1:7" ht="15">
      <c r="A104" s="348" t="s">
        <v>217</v>
      </c>
      <c r="B104" s="350">
        <v>0.000972864</v>
      </c>
      <c r="C104" s="351">
        <f t="shared" si="3"/>
        <v>1595886.1056000001</v>
      </c>
      <c r="F104" s="350">
        <v>0.0008653153798861046</v>
      </c>
      <c r="G104" s="351">
        <f t="shared" si="4"/>
        <v>830180.1142012093</v>
      </c>
    </row>
    <row r="105" spans="1:7" ht="15">
      <c r="A105" s="348" t="s">
        <v>218</v>
      </c>
      <c r="B105" s="350">
        <v>0.0541397278</v>
      </c>
      <c r="C105" s="351">
        <f t="shared" si="3"/>
        <v>88810809.48312001</v>
      </c>
      <c r="F105" s="350">
        <v>0.03000466868401152</v>
      </c>
      <c r="G105" s="351">
        <f t="shared" si="4"/>
        <v>28786359.116765916</v>
      </c>
    </row>
    <row r="106" spans="1:7" ht="15">
      <c r="A106" s="348" t="s">
        <v>219</v>
      </c>
      <c r="B106" s="350">
        <v>0.0509084578</v>
      </c>
      <c r="C106" s="351">
        <f t="shared" si="3"/>
        <v>83510234.17512</v>
      </c>
      <c r="F106" s="350">
        <v>0.05541565731085765</v>
      </c>
      <c r="G106" s="351">
        <f t="shared" si="4"/>
        <v>53165559.96140759</v>
      </c>
    </row>
    <row r="107" spans="1:7" ht="15">
      <c r="A107" s="348" t="s">
        <v>220</v>
      </c>
      <c r="B107" s="350">
        <v>0.0011293125</v>
      </c>
      <c r="C107" s="351">
        <f t="shared" si="3"/>
        <v>1852524.225</v>
      </c>
      <c r="F107" s="350">
        <v>0.0008684925251446558</v>
      </c>
      <c r="G107" s="351">
        <f t="shared" si="4"/>
        <v>833228.2546536822</v>
      </c>
    </row>
    <row r="108" spans="1:7" ht="15">
      <c r="A108" s="348" t="s">
        <v>221</v>
      </c>
      <c r="B108" s="350">
        <v>0.05397281</v>
      </c>
      <c r="C108" s="351">
        <f t="shared" si="3"/>
        <v>88536997.524</v>
      </c>
      <c r="F108" s="350">
        <v>0.03679543863554552</v>
      </c>
      <c r="G108" s="351">
        <f t="shared" si="4"/>
        <v>35301396.645187825</v>
      </c>
    </row>
    <row r="109" spans="1:7" ht="15">
      <c r="A109" s="348" t="s">
        <v>222</v>
      </c>
      <c r="B109" s="350">
        <v>0.0700445862</v>
      </c>
      <c r="C109" s="351">
        <f t="shared" si="3"/>
        <v>114901139.20247999</v>
      </c>
      <c r="F109" s="350">
        <v>0.05021108129191206</v>
      </c>
      <c r="G109" s="351">
        <f t="shared" si="4"/>
        <v>48172310.54713526</v>
      </c>
    </row>
    <row r="110" spans="1:7" ht="15">
      <c r="A110" s="348" t="s">
        <v>223</v>
      </c>
      <c r="B110" s="350">
        <v>0.0214500359</v>
      </c>
      <c r="C110" s="351">
        <f t="shared" si="3"/>
        <v>35186638.89036</v>
      </c>
      <c r="F110" s="350">
        <v>0.026168224602194118</v>
      </c>
      <c r="G110" s="351">
        <f t="shared" si="4"/>
        <v>25105690.010446627</v>
      </c>
    </row>
    <row r="111" spans="1:7" ht="15">
      <c r="A111" s="348" t="s">
        <v>224</v>
      </c>
      <c r="B111" s="350">
        <v>0.0196016448</v>
      </c>
      <c r="C111" s="351">
        <f t="shared" si="3"/>
        <v>32154538.129920002</v>
      </c>
      <c r="F111" s="350">
        <v>0.01699403457287652</v>
      </c>
      <c r="G111" s="351">
        <f t="shared" si="4"/>
        <v>16304008.793079441</v>
      </c>
    </row>
    <row r="112" spans="1:7" ht="15">
      <c r="A112" s="348" t="s">
        <v>225</v>
      </c>
      <c r="B112" s="350">
        <v>0.00784647</v>
      </c>
      <c r="C112" s="351">
        <f t="shared" si="3"/>
        <v>12871349.387999998</v>
      </c>
      <c r="F112" s="350">
        <v>0.00874877206742641</v>
      </c>
      <c r="G112" s="351">
        <f t="shared" si="4"/>
        <v>8393536.926400628</v>
      </c>
    </row>
    <row r="113" spans="1:7" ht="15">
      <c r="A113" s="360" t="s">
        <v>185</v>
      </c>
      <c r="B113" s="361">
        <v>0.0097324309</v>
      </c>
      <c r="C113" s="351">
        <f t="shared" si="3"/>
        <v>15965079.64836</v>
      </c>
      <c r="D113" s="362"/>
      <c r="E113" s="362"/>
      <c r="F113" s="361">
        <v>0.008039011364921843</v>
      </c>
      <c r="G113" s="351">
        <f t="shared" si="4"/>
        <v>7712595.347460557</v>
      </c>
    </row>
    <row r="114" spans="1:7" ht="15">
      <c r="A114" s="360" t="s">
        <v>226</v>
      </c>
      <c r="B114" s="361">
        <v>0.0076357066</v>
      </c>
      <c r="C114" s="351">
        <f t="shared" si="3"/>
        <v>12525613.10664</v>
      </c>
      <c r="D114" s="362"/>
      <c r="E114" s="362"/>
      <c r="F114" s="361">
        <v>0.011227588162479527</v>
      </c>
      <c r="G114" s="351">
        <f t="shared" si="4"/>
        <v>10771703.172730207</v>
      </c>
    </row>
    <row r="115" spans="1:7" ht="15">
      <c r="A115" s="360" t="s">
        <v>227</v>
      </c>
      <c r="B115" s="361">
        <v>0.0368002914</v>
      </c>
      <c r="C115" s="351">
        <f t="shared" si="3"/>
        <v>60367198.012559995</v>
      </c>
      <c r="D115" s="362"/>
      <c r="E115" s="362"/>
      <c r="F115" s="361">
        <v>0.03623852357589962</v>
      </c>
      <c r="G115" s="351">
        <f t="shared" si="4"/>
        <v>34767094.564623795</v>
      </c>
    </row>
    <row r="116" spans="1:7" ht="15">
      <c r="A116" s="360" t="s">
        <v>228</v>
      </c>
      <c r="B116" s="361">
        <v>0.0058639346</v>
      </c>
      <c r="C116" s="351">
        <f t="shared" si="3"/>
        <v>9619198.317839999</v>
      </c>
      <c r="D116" s="362"/>
      <c r="E116" s="362"/>
      <c r="F116" s="361">
        <v>0.01060107876087326</v>
      </c>
      <c r="G116" s="351">
        <f t="shared" si="4"/>
        <v>10170632.558866762</v>
      </c>
    </row>
    <row r="117" spans="1:7" ht="15">
      <c r="A117" s="348" t="s">
        <v>229</v>
      </c>
      <c r="B117" s="350">
        <v>0.0068770919</v>
      </c>
      <c r="C117" s="351">
        <f t="shared" si="3"/>
        <v>11281181.55276</v>
      </c>
      <c r="F117" s="350">
        <v>0.004778920301902801</v>
      </c>
      <c r="G117" s="351">
        <f t="shared" si="4"/>
        <v>4584877.02196434</v>
      </c>
    </row>
    <row r="118" spans="1:7" ht="15">
      <c r="A118" s="348" t="s">
        <v>230</v>
      </c>
      <c r="B118" s="350">
        <v>0.000397351</v>
      </c>
      <c r="C118" s="351">
        <f t="shared" si="3"/>
        <v>651814.5804</v>
      </c>
      <c r="F118" s="350">
        <v>0.0001346929181122374</v>
      </c>
      <c r="G118" s="351">
        <f t="shared" si="4"/>
        <v>129223.8468652081</v>
      </c>
    </row>
    <row r="119" spans="1:7" ht="15">
      <c r="A119" s="348" t="s">
        <v>231</v>
      </c>
      <c r="B119" s="350">
        <v>0.0017875079</v>
      </c>
      <c r="C119" s="351">
        <f t="shared" si="3"/>
        <v>2932227.9591599996</v>
      </c>
      <c r="F119" s="350">
        <v>0.0018416391597867153</v>
      </c>
      <c r="G119" s="351">
        <f t="shared" si="4"/>
        <v>1766861.2433427356</v>
      </c>
    </row>
    <row r="120" spans="1:7" ht="15">
      <c r="A120" s="348" t="s">
        <v>232</v>
      </c>
      <c r="B120" s="350">
        <v>0.0064436577</v>
      </c>
      <c r="C120" s="351">
        <f t="shared" si="3"/>
        <v>10570176.09108</v>
      </c>
      <c r="F120" s="350">
        <v>0.010395359420215399</v>
      </c>
      <c r="G120" s="351">
        <f t="shared" si="4"/>
        <v>9973266.246316973</v>
      </c>
    </row>
    <row r="121" spans="1:7" ht="15">
      <c r="A121" s="348" t="s">
        <v>233</v>
      </c>
      <c r="B121" s="350">
        <v>0.011710576</v>
      </c>
      <c r="C121" s="351">
        <f t="shared" si="3"/>
        <v>19210028.8704</v>
      </c>
      <c r="F121" s="350">
        <v>0.007889818201444748</v>
      </c>
      <c r="G121" s="351">
        <f t="shared" si="4"/>
        <v>7569460.023193285</v>
      </c>
    </row>
    <row r="122" spans="1:7" ht="15">
      <c r="A122" s="348" t="s">
        <v>234</v>
      </c>
      <c r="B122" s="350">
        <v>0.0107506174</v>
      </c>
      <c r="C122" s="351">
        <f t="shared" si="3"/>
        <v>17635312.78296</v>
      </c>
      <c r="F122" s="350">
        <v>0.01168966076297842</v>
      </c>
      <c r="G122" s="351">
        <f t="shared" si="4"/>
        <v>11215013.777358444</v>
      </c>
    </row>
    <row r="123" spans="1:7" ht="15">
      <c r="A123" s="348" t="s">
        <v>235</v>
      </c>
      <c r="B123" s="350">
        <v>0.0032296999</v>
      </c>
      <c r="C123" s="351">
        <f t="shared" si="3"/>
        <v>5297999.71596</v>
      </c>
      <c r="F123" s="350">
        <v>0.007492203057426227</v>
      </c>
      <c r="G123" s="351">
        <f t="shared" si="4"/>
        <v>7187989.6444824925</v>
      </c>
    </row>
    <row r="124" spans="1:7" ht="15">
      <c r="A124" s="348" t="s">
        <v>236</v>
      </c>
      <c r="B124" s="350">
        <v>0.0030226452</v>
      </c>
      <c r="C124" s="351">
        <f t="shared" si="3"/>
        <v>4958347.18608</v>
      </c>
      <c r="F124" s="350">
        <v>0.0019451561143185648</v>
      </c>
      <c r="G124" s="351">
        <f t="shared" si="4"/>
        <v>1866174.9954527738</v>
      </c>
    </row>
    <row r="125" spans="1:7" ht="15">
      <c r="A125" s="348" t="s">
        <v>237</v>
      </c>
      <c r="B125" s="350">
        <v>0.0011009432</v>
      </c>
      <c r="C125" s="351">
        <f t="shared" si="3"/>
        <v>1805987.22528</v>
      </c>
      <c r="F125" s="350">
        <v>0.0006785211378795488</v>
      </c>
      <c r="G125" s="351">
        <f t="shared" si="4"/>
        <v>650970.4655970876</v>
      </c>
    </row>
    <row r="126" spans="1:7" ht="15">
      <c r="A126" s="348" t="s">
        <v>238</v>
      </c>
      <c r="B126" s="350">
        <v>0.011867375</v>
      </c>
      <c r="C126" s="351">
        <f t="shared" si="3"/>
        <v>19467241.95</v>
      </c>
      <c r="F126" s="350">
        <v>0.01595320532739675</v>
      </c>
      <c r="G126" s="351">
        <f t="shared" si="4"/>
        <v>15305441.378283132</v>
      </c>
    </row>
    <row r="127" spans="1:7" ht="15">
      <c r="A127" s="348" t="s">
        <v>239</v>
      </c>
      <c r="B127" s="350">
        <v>0.0017565971</v>
      </c>
      <c r="C127" s="351">
        <f t="shared" si="3"/>
        <v>2881521.88284</v>
      </c>
      <c r="F127" s="350">
        <v>0.0010230331094156929</v>
      </c>
      <c r="G127" s="351">
        <f t="shared" si="4"/>
        <v>981493.8730409781</v>
      </c>
    </row>
    <row r="128" spans="1:7" ht="15">
      <c r="A128" s="348" t="s">
        <v>240</v>
      </c>
      <c r="B128" s="350">
        <v>0.0112321766</v>
      </c>
      <c r="C128" s="351">
        <f t="shared" si="3"/>
        <v>18425262.49464</v>
      </c>
      <c r="F128" s="350">
        <v>0.014754682312891742</v>
      </c>
      <c r="G128" s="351">
        <f t="shared" si="4"/>
        <v>14155583.192259086</v>
      </c>
    </row>
    <row r="129" spans="1:7" ht="15">
      <c r="A129" s="348" t="s">
        <v>241</v>
      </c>
      <c r="B129" s="350">
        <v>0.0050176667</v>
      </c>
      <c r="C129" s="351">
        <f t="shared" si="3"/>
        <v>8230980.45468</v>
      </c>
      <c r="F129" s="350">
        <v>0.0035840196399687546</v>
      </c>
      <c r="G129" s="351">
        <f t="shared" si="4"/>
        <v>3438494.1065074634</v>
      </c>
    </row>
    <row r="130" spans="1:7" ht="15">
      <c r="A130" s="348" t="s">
        <v>242</v>
      </c>
      <c r="B130" s="350">
        <v>0.0036199726</v>
      </c>
      <c r="C130" s="351">
        <f t="shared" si="3"/>
        <v>5938203.053040001</v>
      </c>
      <c r="F130" s="350">
        <v>0</v>
      </c>
      <c r="G130" s="351">
        <f t="shared" si="4"/>
        <v>0</v>
      </c>
    </row>
    <row r="131" spans="1:7" ht="15">
      <c r="A131" s="348" t="s">
        <v>138</v>
      </c>
      <c r="B131" s="354">
        <v>0.0199132258</v>
      </c>
      <c r="C131" s="355">
        <f t="shared" si="3"/>
        <v>32665655.60232</v>
      </c>
      <c r="F131" s="350">
        <v>0</v>
      </c>
      <c r="G131" s="351">
        <f t="shared" si="4"/>
        <v>0</v>
      </c>
    </row>
    <row r="132" spans="1:7" ht="15.75" thickBot="1">
      <c r="A132" s="348" t="s">
        <v>139</v>
      </c>
      <c r="B132" s="352">
        <f>SUM(B72:B131)</f>
        <v>1.0000000000000002</v>
      </c>
      <c r="C132" s="353">
        <f>SUM(C72:C131)</f>
        <v>1640399999.9999995</v>
      </c>
      <c r="F132" s="358">
        <f>SUM(F72:F131)</f>
        <v>0.9999999999999998</v>
      </c>
      <c r="G132" s="359">
        <f>SUM(G72:G131)</f>
        <v>959395999.9999995</v>
      </c>
    </row>
    <row r="137" spans="1:7" ht="15.75">
      <c r="A137" s="609" t="s">
        <v>156</v>
      </c>
      <c r="B137" s="609"/>
      <c r="C137" s="609"/>
      <c r="D137" s="609"/>
      <c r="E137" s="609"/>
      <c r="F137" s="609"/>
      <c r="G137" s="609"/>
    </row>
    <row r="139" spans="1:7" ht="15">
      <c r="A139" s="606" t="s">
        <v>144</v>
      </c>
      <c r="B139" s="606"/>
      <c r="C139" s="606"/>
      <c r="D139" s="606"/>
      <c r="E139" s="606"/>
      <c r="F139" s="606"/>
      <c r="G139" s="606"/>
    </row>
    <row r="140" spans="1:7" ht="15" customHeight="1">
      <c r="A140" s="605" t="s">
        <v>249</v>
      </c>
      <c r="B140" s="605"/>
      <c r="C140" s="605"/>
      <c r="D140" s="605"/>
      <c r="E140" s="605"/>
      <c r="F140" s="605"/>
      <c r="G140" s="605"/>
    </row>
    <row r="141" spans="1:7" ht="15">
      <c r="A141" s="349"/>
      <c r="B141" s="349"/>
      <c r="C141" s="349"/>
      <c r="D141" s="349"/>
      <c r="E141" s="349"/>
      <c r="F141" s="349"/>
      <c r="G141" s="349"/>
    </row>
    <row r="142" spans="2:7" ht="15">
      <c r="B142" s="363" t="s">
        <v>85</v>
      </c>
      <c r="C142" s="367">
        <f>B27</f>
        <v>496429000</v>
      </c>
      <c r="D142" s="349"/>
      <c r="E142" s="349"/>
      <c r="F142" s="314" t="s">
        <v>86</v>
      </c>
      <c r="G142" s="364">
        <f>B28</f>
        <v>842900000</v>
      </c>
    </row>
    <row r="143" spans="1:6" ht="15.75" thickBot="1">
      <c r="A143" s="349"/>
      <c r="B143" s="349"/>
      <c r="C143" s="349"/>
      <c r="D143" s="349"/>
      <c r="E143" s="349"/>
      <c r="F143" s="365"/>
    </row>
    <row r="144" spans="1:7" ht="15.75" thickBot="1">
      <c r="A144" s="349"/>
      <c r="B144" s="607" t="s">
        <v>85</v>
      </c>
      <c r="C144" s="608"/>
      <c r="D144" s="349"/>
      <c r="E144" s="349"/>
      <c r="F144" s="607" t="s">
        <v>86</v>
      </c>
      <c r="G144" s="608"/>
    </row>
    <row r="145" spans="1:7" ht="6" customHeight="1" thickBot="1">
      <c r="A145" s="349"/>
      <c r="B145" s="356"/>
      <c r="C145" s="357"/>
      <c r="D145" s="349"/>
      <c r="E145" s="349"/>
      <c r="F145" s="356"/>
      <c r="G145" s="357"/>
    </row>
    <row r="146" spans="1:7" ht="15">
      <c r="A146" s="369"/>
      <c r="B146" s="490" t="s">
        <v>281</v>
      </c>
      <c r="C146" s="351"/>
      <c r="F146" s="490" t="s">
        <v>281</v>
      </c>
      <c r="G146" s="351"/>
    </row>
    <row r="147" spans="1:7" ht="15">
      <c r="A147" s="360" t="s">
        <v>186</v>
      </c>
      <c r="B147" s="350">
        <v>0.044128</v>
      </c>
      <c r="C147" s="351">
        <f>C$142*B147</f>
        <v>21906418.912</v>
      </c>
      <c r="F147" s="350">
        <v>0.034667</v>
      </c>
      <c r="G147" s="351">
        <f>G$142*F147</f>
        <v>29220814.300000004</v>
      </c>
    </row>
    <row r="148" spans="1:7" ht="15">
      <c r="A148" s="348" t="s">
        <v>187</v>
      </c>
      <c r="B148" s="350">
        <v>2.5E-05</v>
      </c>
      <c r="C148" s="351">
        <f aca="true" t="shared" si="5" ref="C148:C205">C$142*B148</f>
        <v>12410.725</v>
      </c>
      <c r="F148" s="350">
        <v>0.000182</v>
      </c>
      <c r="G148" s="351">
        <f aca="true" t="shared" si="6" ref="G148:G205">G$142*F148</f>
        <v>153407.80000000002</v>
      </c>
    </row>
    <row r="149" spans="1:7" ht="15">
      <c r="A149" s="348" t="s">
        <v>188</v>
      </c>
      <c r="B149" s="350">
        <v>0.001141</v>
      </c>
      <c r="C149" s="351">
        <f t="shared" si="5"/>
        <v>566425.4890000001</v>
      </c>
      <c r="F149" s="350">
        <v>0.001341</v>
      </c>
      <c r="G149" s="351">
        <f t="shared" si="6"/>
        <v>1130328.9</v>
      </c>
    </row>
    <row r="150" spans="1:7" ht="15">
      <c r="A150" s="348" t="s">
        <v>189</v>
      </c>
      <c r="B150" s="350">
        <v>0.003818</v>
      </c>
      <c r="C150" s="351">
        <f t="shared" si="5"/>
        <v>1895365.922</v>
      </c>
      <c r="F150" s="350">
        <v>0.006646</v>
      </c>
      <c r="G150" s="351">
        <f t="shared" si="6"/>
        <v>5601913.4</v>
      </c>
    </row>
    <row r="151" spans="1:7" ht="15">
      <c r="A151" s="348" t="s">
        <v>190</v>
      </c>
      <c r="B151" s="350">
        <v>0.000711</v>
      </c>
      <c r="C151" s="351">
        <f t="shared" si="5"/>
        <v>352961.01900000003</v>
      </c>
      <c r="F151" s="350">
        <v>0.000943</v>
      </c>
      <c r="G151" s="351">
        <f t="shared" si="6"/>
        <v>794854.7000000001</v>
      </c>
    </row>
    <row r="152" spans="1:7" ht="15">
      <c r="A152" s="348" t="s">
        <v>191</v>
      </c>
      <c r="B152" s="350">
        <v>0.000296</v>
      </c>
      <c r="C152" s="351">
        <f t="shared" si="5"/>
        <v>146942.984</v>
      </c>
      <c r="F152" s="350">
        <v>0.000513</v>
      </c>
      <c r="G152" s="351">
        <f t="shared" si="6"/>
        <v>432407.7</v>
      </c>
    </row>
    <row r="153" spans="1:7" ht="15">
      <c r="A153" s="348" t="s">
        <v>192</v>
      </c>
      <c r="B153" s="350">
        <v>0.027405</v>
      </c>
      <c r="C153" s="351">
        <f t="shared" si="5"/>
        <v>13604636.745</v>
      </c>
      <c r="F153" s="350">
        <v>0.02288</v>
      </c>
      <c r="G153" s="351">
        <f t="shared" si="6"/>
        <v>19285552</v>
      </c>
    </row>
    <row r="154" spans="1:7" ht="15">
      <c r="A154" s="348" t="s">
        <v>193</v>
      </c>
      <c r="B154" s="350">
        <v>0.000662</v>
      </c>
      <c r="C154" s="351">
        <f t="shared" si="5"/>
        <v>328635.998</v>
      </c>
      <c r="F154" s="350">
        <v>0.000647</v>
      </c>
      <c r="G154" s="351">
        <f t="shared" si="6"/>
        <v>545356.3</v>
      </c>
    </row>
    <row r="155" spans="1:7" ht="15">
      <c r="A155" s="348" t="s">
        <v>194</v>
      </c>
      <c r="B155" s="350">
        <v>0.004896</v>
      </c>
      <c r="C155" s="351">
        <f t="shared" si="5"/>
        <v>2430516.384</v>
      </c>
      <c r="F155" s="350">
        <v>0.00395</v>
      </c>
      <c r="G155" s="351">
        <f t="shared" si="6"/>
        <v>3329455.0000000005</v>
      </c>
    </row>
    <row r="156" spans="1:7" ht="15">
      <c r="A156" s="348" t="s">
        <v>195</v>
      </c>
      <c r="B156" s="350">
        <v>0.029892</v>
      </c>
      <c r="C156" s="351">
        <f t="shared" si="5"/>
        <v>14839255.668</v>
      </c>
      <c r="F156" s="350">
        <v>0.024658</v>
      </c>
      <c r="G156" s="351">
        <f t="shared" si="6"/>
        <v>20784228.2</v>
      </c>
    </row>
    <row r="157" spans="1:7" ht="15">
      <c r="A157" s="348" t="s">
        <v>196</v>
      </c>
      <c r="B157" s="350">
        <v>0.00095</v>
      </c>
      <c r="C157" s="351">
        <f t="shared" si="5"/>
        <v>471607.55</v>
      </c>
      <c r="F157" s="350">
        <v>0.000786</v>
      </c>
      <c r="G157" s="351">
        <f t="shared" si="6"/>
        <v>662519.4</v>
      </c>
    </row>
    <row r="158" spans="1:7" ht="15">
      <c r="A158" s="348" t="s">
        <v>197</v>
      </c>
      <c r="B158" s="350">
        <v>0.002275</v>
      </c>
      <c r="C158" s="351">
        <f t="shared" si="5"/>
        <v>1129375.975</v>
      </c>
      <c r="F158" s="350">
        <v>0.003964</v>
      </c>
      <c r="G158" s="351">
        <f t="shared" si="6"/>
        <v>3341255.5999999996</v>
      </c>
    </row>
    <row r="159" spans="1:7" ht="15">
      <c r="A159" s="348" t="s">
        <v>198</v>
      </c>
      <c r="B159" s="350">
        <v>0.002454</v>
      </c>
      <c r="C159" s="351">
        <f t="shared" si="5"/>
        <v>1218236.766</v>
      </c>
      <c r="F159" s="350">
        <v>0.003709</v>
      </c>
      <c r="G159" s="351">
        <f t="shared" si="6"/>
        <v>3126316.1</v>
      </c>
    </row>
    <row r="160" spans="1:7" ht="15">
      <c r="A160" s="348" t="s">
        <v>199</v>
      </c>
      <c r="B160" s="350">
        <v>0.000736</v>
      </c>
      <c r="C160" s="351">
        <f t="shared" si="5"/>
        <v>365371.744</v>
      </c>
      <c r="F160" s="350">
        <v>0.000469</v>
      </c>
      <c r="G160" s="351">
        <f t="shared" si="6"/>
        <v>395320.10000000003</v>
      </c>
    </row>
    <row r="161" spans="1:7" ht="15">
      <c r="A161" s="348" t="s">
        <v>200</v>
      </c>
      <c r="B161" s="350">
        <v>0.019901</v>
      </c>
      <c r="C161" s="351">
        <f t="shared" si="5"/>
        <v>9879433.529</v>
      </c>
      <c r="F161" s="350">
        <v>0.027823</v>
      </c>
      <c r="G161" s="351">
        <f t="shared" si="6"/>
        <v>23452006.7</v>
      </c>
    </row>
    <row r="162" spans="1:7" ht="15">
      <c r="A162" s="348" t="s">
        <v>201</v>
      </c>
      <c r="B162" s="350">
        <v>0.001907</v>
      </c>
      <c r="C162" s="351">
        <f t="shared" si="5"/>
        <v>946690.103</v>
      </c>
      <c r="F162" s="350">
        <v>0.007167</v>
      </c>
      <c r="G162" s="351">
        <f t="shared" si="6"/>
        <v>6041064.3</v>
      </c>
    </row>
    <row r="163" spans="1:7" ht="15">
      <c r="A163" s="348" t="s">
        <v>202</v>
      </c>
      <c r="B163" s="350">
        <v>0.001012</v>
      </c>
      <c r="C163" s="351">
        <f t="shared" si="5"/>
        <v>502386.14800000004</v>
      </c>
      <c r="F163" s="350">
        <v>0.002054</v>
      </c>
      <c r="G163" s="351">
        <f t="shared" si="6"/>
        <v>1731316.5999999999</v>
      </c>
    </row>
    <row r="164" spans="1:7" ht="15">
      <c r="A164" s="348" t="s">
        <v>203</v>
      </c>
      <c r="B164" s="350">
        <v>0.000326</v>
      </c>
      <c r="C164" s="351">
        <f t="shared" si="5"/>
        <v>161835.854</v>
      </c>
      <c r="F164" s="350">
        <v>0.000923</v>
      </c>
      <c r="G164" s="351">
        <f t="shared" si="6"/>
        <v>777996.7</v>
      </c>
    </row>
    <row r="165" spans="1:7" ht="15">
      <c r="A165" s="348" t="s">
        <v>204</v>
      </c>
      <c r="B165" s="350">
        <v>0.298019</v>
      </c>
      <c r="C165" s="351">
        <f t="shared" si="5"/>
        <v>147945274.151</v>
      </c>
      <c r="F165" s="350">
        <v>0.317692</v>
      </c>
      <c r="G165" s="351">
        <f t="shared" si="6"/>
        <v>267782586.79999998</v>
      </c>
    </row>
    <row r="166" spans="1:7" ht="15">
      <c r="A166" s="348" t="s">
        <v>205</v>
      </c>
      <c r="B166" s="350">
        <v>0.002624</v>
      </c>
      <c r="C166" s="351">
        <f t="shared" si="5"/>
        <v>1302629.696</v>
      </c>
      <c r="F166" s="350">
        <v>0.004083</v>
      </c>
      <c r="G166" s="351">
        <f t="shared" si="6"/>
        <v>3441560.6999999997</v>
      </c>
    </row>
    <row r="167" spans="1:7" ht="15">
      <c r="A167" s="348" t="s">
        <v>206</v>
      </c>
      <c r="B167" s="350">
        <v>0.006103</v>
      </c>
      <c r="C167" s="351">
        <f t="shared" si="5"/>
        <v>3029706.187</v>
      </c>
      <c r="F167" s="350">
        <v>0.005414</v>
      </c>
      <c r="G167" s="351">
        <f t="shared" si="6"/>
        <v>4563460.600000001</v>
      </c>
    </row>
    <row r="168" spans="1:7" ht="15">
      <c r="A168" s="348" t="s">
        <v>207</v>
      </c>
      <c r="B168" s="350">
        <v>0.000402</v>
      </c>
      <c r="C168" s="351">
        <f t="shared" si="5"/>
        <v>199564.458</v>
      </c>
      <c r="F168" s="350">
        <v>0.000402</v>
      </c>
      <c r="G168" s="351">
        <f t="shared" si="6"/>
        <v>338845.8</v>
      </c>
    </row>
    <row r="169" spans="1:7" ht="15">
      <c r="A169" s="348" t="s">
        <v>208</v>
      </c>
      <c r="B169" s="350">
        <v>0.002709</v>
      </c>
      <c r="C169" s="351">
        <f t="shared" si="5"/>
        <v>1344826.161</v>
      </c>
      <c r="F169" s="350">
        <v>0.002448</v>
      </c>
      <c r="G169" s="351">
        <f t="shared" si="6"/>
        <v>2063419.2000000002</v>
      </c>
    </row>
    <row r="170" spans="1:7" ht="15">
      <c r="A170" s="348" t="s">
        <v>209</v>
      </c>
      <c r="B170" s="350">
        <v>0.005739</v>
      </c>
      <c r="C170" s="351">
        <f t="shared" si="5"/>
        <v>2849006.031</v>
      </c>
      <c r="F170" s="350">
        <v>0.006179</v>
      </c>
      <c r="G170" s="351">
        <f t="shared" si="6"/>
        <v>5208279.1</v>
      </c>
    </row>
    <row r="171" spans="1:7" ht="15">
      <c r="A171" s="348" t="s">
        <v>210</v>
      </c>
      <c r="B171" s="350">
        <v>0.000212</v>
      </c>
      <c r="C171" s="351">
        <f t="shared" si="5"/>
        <v>105242.948</v>
      </c>
      <c r="F171" s="350">
        <v>0.000198</v>
      </c>
      <c r="G171" s="351">
        <f t="shared" si="6"/>
        <v>166894.19999999998</v>
      </c>
    </row>
    <row r="172" spans="1:7" ht="15">
      <c r="A172" s="348" t="s">
        <v>211</v>
      </c>
      <c r="B172" s="350">
        <v>0.000957</v>
      </c>
      <c r="C172" s="351">
        <f t="shared" si="5"/>
        <v>475082.55299999996</v>
      </c>
      <c r="F172" s="350">
        <v>0.000343</v>
      </c>
      <c r="G172" s="351">
        <f t="shared" si="6"/>
        <v>289114.7</v>
      </c>
    </row>
    <row r="173" spans="1:7" ht="15">
      <c r="A173" s="348" t="s">
        <v>212</v>
      </c>
      <c r="B173" s="350">
        <v>0.007669</v>
      </c>
      <c r="C173" s="351">
        <f t="shared" si="5"/>
        <v>3807114.0009999997</v>
      </c>
      <c r="F173" s="350">
        <v>0.00941</v>
      </c>
      <c r="G173" s="351">
        <f t="shared" si="6"/>
        <v>7931689</v>
      </c>
    </row>
    <row r="174" spans="1:7" ht="15">
      <c r="A174" s="348" t="s">
        <v>213</v>
      </c>
      <c r="B174" s="350">
        <v>0.003259</v>
      </c>
      <c r="C174" s="351">
        <f t="shared" si="5"/>
        <v>1617862.111</v>
      </c>
      <c r="F174" s="350">
        <v>0.002927</v>
      </c>
      <c r="G174" s="351">
        <f t="shared" si="6"/>
        <v>2467168.3</v>
      </c>
    </row>
    <row r="175" spans="1:7" ht="15">
      <c r="A175" s="348" t="s">
        <v>214</v>
      </c>
      <c r="B175" s="350">
        <v>0.001684</v>
      </c>
      <c r="C175" s="351">
        <f t="shared" si="5"/>
        <v>835986.436</v>
      </c>
      <c r="F175" s="350">
        <v>0.0021</v>
      </c>
      <c r="G175" s="351">
        <f t="shared" si="6"/>
        <v>1770090</v>
      </c>
    </row>
    <row r="176" spans="1:7" ht="15">
      <c r="A176" s="348" t="s">
        <v>215</v>
      </c>
      <c r="B176" s="350">
        <v>0.086268</v>
      </c>
      <c r="C176" s="351">
        <f t="shared" si="5"/>
        <v>42825936.971999995</v>
      </c>
      <c r="F176" s="350">
        <v>0.066797</v>
      </c>
      <c r="G176" s="351">
        <f t="shared" si="6"/>
        <v>56303191.3</v>
      </c>
    </row>
    <row r="177" spans="1:7" ht="15">
      <c r="A177" s="348" t="s">
        <v>216</v>
      </c>
      <c r="B177" s="350">
        <v>0.007694</v>
      </c>
      <c r="C177" s="351">
        <f t="shared" si="5"/>
        <v>3819524.7260000003</v>
      </c>
      <c r="F177" s="350">
        <v>0.00734</v>
      </c>
      <c r="G177" s="351">
        <f t="shared" si="6"/>
        <v>6186886</v>
      </c>
    </row>
    <row r="178" spans="1:7" ht="15">
      <c r="A178" s="348" t="s">
        <v>217</v>
      </c>
      <c r="B178" s="350">
        <v>0.000772</v>
      </c>
      <c r="C178" s="351">
        <f t="shared" si="5"/>
        <v>383243.188</v>
      </c>
      <c r="F178" s="350">
        <v>0.000422</v>
      </c>
      <c r="G178" s="351">
        <f t="shared" si="6"/>
        <v>355703.8</v>
      </c>
    </row>
    <row r="179" spans="1:7" ht="15">
      <c r="A179" s="348" t="s">
        <v>218</v>
      </c>
      <c r="B179" s="350">
        <v>0.032023</v>
      </c>
      <c r="C179" s="351">
        <f t="shared" si="5"/>
        <v>15897145.867</v>
      </c>
      <c r="F179" s="350">
        <v>0.051232</v>
      </c>
      <c r="G179" s="351">
        <f t="shared" si="6"/>
        <v>43183452.8</v>
      </c>
    </row>
    <row r="180" spans="1:7" ht="15">
      <c r="A180" s="348" t="s">
        <v>219</v>
      </c>
      <c r="B180" s="350">
        <v>0.05129</v>
      </c>
      <c r="C180" s="351">
        <f t="shared" si="5"/>
        <v>25461843.41</v>
      </c>
      <c r="F180" s="350">
        <v>0.033308</v>
      </c>
      <c r="G180" s="351">
        <f t="shared" si="6"/>
        <v>28075313.2</v>
      </c>
    </row>
    <row r="181" spans="1:7" ht="15">
      <c r="A181" s="348" t="s">
        <v>220</v>
      </c>
      <c r="B181" s="350">
        <v>0.000777</v>
      </c>
      <c r="C181" s="351">
        <f t="shared" si="5"/>
        <v>385725.333</v>
      </c>
      <c r="F181" s="350">
        <v>0.0013</v>
      </c>
      <c r="G181" s="351">
        <f t="shared" si="6"/>
        <v>1095770</v>
      </c>
    </row>
    <row r="182" spans="1:7" ht="15">
      <c r="A182" s="348" t="s">
        <v>221</v>
      </c>
      <c r="B182" s="350">
        <v>0.052226</v>
      </c>
      <c r="C182" s="351">
        <f t="shared" si="5"/>
        <v>25926500.954</v>
      </c>
      <c r="F182" s="350">
        <v>0.066254</v>
      </c>
      <c r="G182" s="351">
        <f t="shared" si="6"/>
        <v>55845496.599999994</v>
      </c>
    </row>
    <row r="183" spans="1:7" ht="15">
      <c r="A183" s="348" t="s">
        <v>222</v>
      </c>
      <c r="B183" s="350">
        <v>0.067499</v>
      </c>
      <c r="C183" s="351">
        <f t="shared" si="5"/>
        <v>33508461.071000002</v>
      </c>
      <c r="F183" s="350">
        <v>0.070156</v>
      </c>
      <c r="G183" s="351">
        <f t="shared" si="6"/>
        <v>59134492.4</v>
      </c>
    </row>
    <row r="184" spans="1:7" ht="15">
      <c r="A184" s="348" t="s">
        <v>223</v>
      </c>
      <c r="B184" s="350">
        <v>0.022669</v>
      </c>
      <c r="C184" s="351">
        <f t="shared" si="5"/>
        <v>11253549.001</v>
      </c>
      <c r="F184" s="350">
        <v>0.020262</v>
      </c>
      <c r="G184" s="351">
        <f t="shared" si="6"/>
        <v>17078839.8</v>
      </c>
    </row>
    <row r="185" spans="1:7" ht="15">
      <c r="A185" s="348" t="s">
        <v>224</v>
      </c>
      <c r="B185" s="350">
        <v>0.017058</v>
      </c>
      <c r="C185" s="351">
        <f t="shared" si="5"/>
        <v>8468085.882</v>
      </c>
      <c r="F185" s="350">
        <v>0.017534</v>
      </c>
      <c r="G185" s="351">
        <f t="shared" si="6"/>
        <v>14779408.600000001</v>
      </c>
    </row>
    <row r="186" spans="1:7" ht="15">
      <c r="A186" s="348" t="s">
        <v>225</v>
      </c>
      <c r="B186" s="350">
        <v>0.008299</v>
      </c>
      <c r="C186" s="351">
        <f t="shared" si="5"/>
        <v>4119864.271</v>
      </c>
      <c r="F186" s="350">
        <v>0.006145</v>
      </c>
      <c r="G186" s="351">
        <f t="shared" si="6"/>
        <v>5179620.5</v>
      </c>
    </row>
    <row r="187" spans="1:7" ht="15">
      <c r="A187" s="360" t="s">
        <v>185</v>
      </c>
      <c r="B187" s="361">
        <v>0.020628</v>
      </c>
      <c r="C187" s="351">
        <f t="shared" si="5"/>
        <v>10240337.412</v>
      </c>
      <c r="D187" s="362"/>
      <c r="E187" s="362"/>
      <c r="F187" s="361">
        <v>0.015961</v>
      </c>
      <c r="G187" s="351">
        <f t="shared" si="6"/>
        <v>13453526.9</v>
      </c>
    </row>
    <row r="188" spans="1:7" ht="15">
      <c r="A188" s="360" t="s">
        <v>226</v>
      </c>
      <c r="B188" s="361">
        <v>0.013638</v>
      </c>
      <c r="C188" s="351">
        <f t="shared" si="5"/>
        <v>6770298.7020000005</v>
      </c>
      <c r="D188" s="362"/>
      <c r="E188" s="362"/>
      <c r="F188" s="361">
        <v>0.009457</v>
      </c>
      <c r="G188" s="351">
        <f t="shared" si="6"/>
        <v>7971305.3</v>
      </c>
    </row>
    <row r="189" spans="1:7" ht="15">
      <c r="A189" s="360" t="s">
        <v>227</v>
      </c>
      <c r="B189" s="361">
        <v>0.060031</v>
      </c>
      <c r="C189" s="351">
        <f t="shared" si="5"/>
        <v>29801129.299</v>
      </c>
      <c r="D189" s="362"/>
      <c r="E189" s="362"/>
      <c r="F189" s="361">
        <v>0.040037</v>
      </c>
      <c r="G189" s="351">
        <f t="shared" si="6"/>
        <v>33747187.300000004</v>
      </c>
    </row>
    <row r="190" spans="1:7" ht="15">
      <c r="A190" s="360" t="s">
        <v>228</v>
      </c>
      <c r="B190" s="361">
        <v>0.006038</v>
      </c>
      <c r="C190" s="351">
        <f t="shared" si="5"/>
        <v>2997438.302</v>
      </c>
      <c r="D190" s="362"/>
      <c r="E190" s="362"/>
      <c r="F190" s="361">
        <v>0.006139</v>
      </c>
      <c r="G190" s="351">
        <f t="shared" si="6"/>
        <v>5174563.100000001</v>
      </c>
    </row>
    <row r="191" spans="1:7" ht="15">
      <c r="A191" s="348" t="s">
        <v>229</v>
      </c>
      <c r="B191" s="350">
        <v>0</v>
      </c>
      <c r="C191" s="351">
        <f t="shared" si="5"/>
        <v>0</v>
      </c>
      <c r="F191" s="350">
        <v>0.007419</v>
      </c>
      <c r="G191" s="351">
        <f t="shared" si="6"/>
        <v>6253475.100000001</v>
      </c>
    </row>
    <row r="192" spans="1:7" ht="15">
      <c r="A192" s="348" t="s">
        <v>230</v>
      </c>
      <c r="B192" s="350">
        <v>5.5E-05</v>
      </c>
      <c r="C192" s="351">
        <f t="shared" si="5"/>
        <v>27303.595</v>
      </c>
      <c r="F192" s="350">
        <v>0.000182</v>
      </c>
      <c r="G192" s="351">
        <f t="shared" si="6"/>
        <v>153407.80000000002</v>
      </c>
    </row>
    <row r="193" spans="1:7" ht="15">
      <c r="A193" s="348" t="s">
        <v>231</v>
      </c>
      <c r="B193" s="350">
        <v>0.001274</v>
      </c>
      <c r="C193" s="351">
        <f t="shared" si="5"/>
        <v>632450.546</v>
      </c>
      <c r="F193" s="350">
        <v>0.001065</v>
      </c>
      <c r="G193" s="351">
        <f t="shared" si="6"/>
        <v>897688.5</v>
      </c>
    </row>
    <row r="194" spans="1:7" ht="15">
      <c r="A194" s="348" t="s">
        <v>232</v>
      </c>
      <c r="B194" s="350">
        <v>0.011398</v>
      </c>
      <c r="C194" s="351">
        <f t="shared" si="5"/>
        <v>5658297.742</v>
      </c>
      <c r="F194" s="350">
        <v>0.010024</v>
      </c>
      <c r="G194" s="351">
        <f t="shared" si="6"/>
        <v>8449229.6</v>
      </c>
    </row>
    <row r="195" spans="1:7" ht="15">
      <c r="A195" s="348" t="s">
        <v>233</v>
      </c>
      <c r="B195" s="350">
        <v>0.014353</v>
      </c>
      <c r="C195" s="351">
        <f t="shared" si="5"/>
        <v>7125245.437</v>
      </c>
      <c r="F195" s="350">
        <v>0.01071</v>
      </c>
      <c r="G195" s="351">
        <f t="shared" si="6"/>
        <v>9027459</v>
      </c>
    </row>
    <row r="196" spans="1:7" ht="15">
      <c r="A196" s="348" t="s">
        <v>234</v>
      </c>
      <c r="B196" s="350">
        <v>0.0093</v>
      </c>
      <c r="C196" s="351">
        <f t="shared" si="5"/>
        <v>4616789.699999999</v>
      </c>
      <c r="F196" s="350">
        <v>0.014525</v>
      </c>
      <c r="G196" s="351">
        <f t="shared" si="6"/>
        <v>12243122.5</v>
      </c>
    </row>
    <row r="197" spans="1:7" ht="15">
      <c r="A197" s="348" t="s">
        <v>235</v>
      </c>
      <c r="B197" s="350">
        <v>0.001111</v>
      </c>
      <c r="C197" s="351">
        <f t="shared" si="5"/>
        <v>551532.619</v>
      </c>
      <c r="F197" s="350">
        <v>0.002978</v>
      </c>
      <c r="G197" s="351">
        <f t="shared" si="6"/>
        <v>2510156.2</v>
      </c>
    </row>
    <row r="198" spans="1:7" ht="15">
      <c r="A198" s="348" t="s">
        <v>236</v>
      </c>
      <c r="B198" s="350">
        <v>0.001139</v>
      </c>
      <c r="C198" s="351">
        <f t="shared" si="5"/>
        <v>565432.631</v>
      </c>
      <c r="F198" s="350">
        <v>0.003032</v>
      </c>
      <c r="G198" s="351">
        <f t="shared" si="6"/>
        <v>2555672.8</v>
      </c>
    </row>
    <row r="199" spans="1:7" ht="15">
      <c r="A199" s="348" t="s">
        <v>237</v>
      </c>
      <c r="B199" s="350">
        <v>0</v>
      </c>
      <c r="C199" s="351">
        <f t="shared" si="5"/>
        <v>0</v>
      </c>
      <c r="F199" s="350">
        <v>0.000353</v>
      </c>
      <c r="G199" s="351">
        <f t="shared" si="6"/>
        <v>297543.7</v>
      </c>
    </row>
    <row r="200" spans="1:7" ht="15">
      <c r="A200" s="348" t="s">
        <v>238</v>
      </c>
      <c r="B200" s="350">
        <v>0.011402</v>
      </c>
      <c r="C200" s="351">
        <f t="shared" si="5"/>
        <v>5660283.458000001</v>
      </c>
      <c r="F200" s="350">
        <v>0.013899</v>
      </c>
      <c r="G200" s="351">
        <f t="shared" si="6"/>
        <v>11715467.1</v>
      </c>
    </row>
    <row r="201" spans="1:7" ht="15">
      <c r="A201" s="348" t="s">
        <v>239</v>
      </c>
      <c r="B201" s="350">
        <v>0.002059</v>
      </c>
      <c r="C201" s="351">
        <f t="shared" si="5"/>
        <v>1022147.311</v>
      </c>
      <c r="F201" s="350">
        <v>0.001422</v>
      </c>
      <c r="G201" s="351">
        <f t="shared" si="6"/>
        <v>1198603.8</v>
      </c>
    </row>
    <row r="202" spans="1:7" ht="15">
      <c r="A202" s="348" t="s">
        <v>240</v>
      </c>
      <c r="B202" s="350">
        <v>0.022509</v>
      </c>
      <c r="C202" s="351">
        <f t="shared" si="5"/>
        <v>11174120.361000001</v>
      </c>
      <c r="F202" s="350">
        <v>0.01788</v>
      </c>
      <c r="G202" s="351">
        <f t="shared" si="6"/>
        <v>15071052</v>
      </c>
    </row>
    <row r="203" spans="1:7" ht="15">
      <c r="A203" s="348" t="s">
        <v>241</v>
      </c>
      <c r="B203" s="350">
        <v>0.005491</v>
      </c>
      <c r="C203" s="351">
        <f t="shared" si="5"/>
        <v>2725891.639</v>
      </c>
      <c r="F203" s="350">
        <v>0.007162</v>
      </c>
      <c r="G203" s="351">
        <f t="shared" si="6"/>
        <v>6036849.8</v>
      </c>
    </row>
    <row r="204" spans="1:7" ht="15">
      <c r="A204" s="348" t="s">
        <v>242</v>
      </c>
      <c r="B204" s="350">
        <v>0.001087</v>
      </c>
      <c r="C204" s="351">
        <f t="shared" si="5"/>
        <v>539618.3230000001</v>
      </c>
      <c r="F204" s="350">
        <v>0.002487</v>
      </c>
      <c r="G204" s="351">
        <f t="shared" si="6"/>
        <v>2096292.3</v>
      </c>
    </row>
    <row r="205" spans="1:7" ht="15">
      <c r="A205" s="348" t="s">
        <v>138</v>
      </c>
      <c r="B205" s="354">
        <v>0</v>
      </c>
      <c r="C205" s="355">
        <f t="shared" si="5"/>
        <v>0</v>
      </c>
      <c r="F205" s="350">
        <v>0</v>
      </c>
      <c r="G205" s="351">
        <f t="shared" si="6"/>
        <v>0</v>
      </c>
    </row>
    <row r="206" spans="1:7" ht="15.75" thickBot="1">
      <c r="A206" s="348" t="s">
        <v>139</v>
      </c>
      <c r="B206" s="352">
        <f>SUM(B147:B205)</f>
        <v>1</v>
      </c>
      <c r="C206" s="353">
        <f>SUM(C147:C205)</f>
        <v>496429000.0000001</v>
      </c>
      <c r="F206" s="358">
        <f>SUM(F147:F205)</f>
        <v>1.0000000000000002</v>
      </c>
      <c r="G206" s="359">
        <f>SUM(G147:G205)</f>
        <v>842899999.9999999</v>
      </c>
    </row>
    <row r="211" spans="1:7" ht="15">
      <c r="A211" s="606" t="s">
        <v>144</v>
      </c>
      <c r="B211" s="606"/>
      <c r="C211" s="606"/>
      <c r="D211" s="606"/>
      <c r="E211" s="606"/>
      <c r="F211" s="606"/>
      <c r="G211" s="606"/>
    </row>
    <row r="212" spans="1:7" ht="15" customHeight="1">
      <c r="A212" s="605" t="s">
        <v>249</v>
      </c>
      <c r="B212" s="605"/>
      <c r="C212" s="605"/>
      <c r="D212" s="605"/>
      <c r="E212" s="605"/>
      <c r="F212" s="605"/>
      <c r="G212" s="605"/>
    </row>
    <row r="213" spans="1:7" ht="15">
      <c r="A213" s="349"/>
      <c r="B213" s="349"/>
      <c r="C213" s="349"/>
      <c r="D213" s="349"/>
      <c r="E213" s="349"/>
      <c r="F213" s="349"/>
      <c r="G213" s="349"/>
    </row>
    <row r="214" spans="2:7" ht="15">
      <c r="B214" s="363" t="s">
        <v>155</v>
      </c>
      <c r="C214" s="367">
        <f>B29</f>
        <v>14600000</v>
      </c>
      <c r="D214" s="349"/>
      <c r="E214" s="349"/>
      <c r="F214" s="314" t="s">
        <v>105</v>
      </c>
      <c r="G214" s="364">
        <f>B30</f>
        <v>98804000</v>
      </c>
    </row>
    <row r="215" spans="1:6" ht="15.75" thickBot="1">
      <c r="A215" s="349"/>
      <c r="B215" s="349"/>
      <c r="C215" s="349"/>
      <c r="D215" s="349"/>
      <c r="E215" s="349"/>
      <c r="F215" s="409"/>
    </row>
    <row r="216" spans="1:7" ht="15.75" thickBot="1">
      <c r="A216" s="349"/>
      <c r="B216" s="607" t="s">
        <v>154</v>
      </c>
      <c r="C216" s="608"/>
      <c r="D216" s="349"/>
      <c r="E216" s="349"/>
      <c r="F216" s="610" t="s">
        <v>105</v>
      </c>
      <c r="G216" s="611"/>
    </row>
    <row r="217" spans="1:7" ht="6" customHeight="1" thickBot="1">
      <c r="A217" s="349"/>
      <c r="B217" s="356"/>
      <c r="C217" s="357"/>
      <c r="D217" s="349"/>
      <c r="E217" s="349"/>
      <c r="F217" s="356"/>
      <c r="G217" s="357"/>
    </row>
    <row r="218" spans="1:7" ht="15">
      <c r="A218" s="369"/>
      <c r="B218" s="490" t="s">
        <v>281</v>
      </c>
      <c r="C218" s="351"/>
      <c r="F218" s="588" t="s">
        <v>280</v>
      </c>
      <c r="G218" s="351"/>
    </row>
    <row r="219" spans="1:7" ht="15">
      <c r="A219" s="360" t="s">
        <v>186</v>
      </c>
      <c r="B219" s="350">
        <v>0.027104</v>
      </c>
      <c r="C219" s="351">
        <f>C$214*B219</f>
        <v>395718.4</v>
      </c>
      <c r="F219" s="407">
        <f>G219/G$214</f>
        <v>0.03713401613295008</v>
      </c>
      <c r="G219" s="351">
        <f>C291+G291</f>
        <v>3668989.3299999996</v>
      </c>
    </row>
    <row r="220" spans="1:7" ht="15">
      <c r="A220" s="348" t="s">
        <v>187</v>
      </c>
      <c r="B220" s="350">
        <v>0.00018</v>
      </c>
      <c r="C220" s="351">
        <f aca="true" t="shared" si="7" ref="C220:C277">C$214*B220</f>
        <v>2628</v>
      </c>
      <c r="F220" s="407">
        <f aca="true" t="shared" si="8" ref="F220:F277">G220/G$214</f>
        <v>0.0011841626857212256</v>
      </c>
      <c r="G220" s="351">
        <f aca="true" t="shared" si="9" ref="G220:G277">C292+G292</f>
        <v>117000.00999999998</v>
      </c>
    </row>
    <row r="221" spans="1:7" ht="15">
      <c r="A221" s="348" t="s">
        <v>188</v>
      </c>
      <c r="B221" s="350">
        <v>0.001476</v>
      </c>
      <c r="C221" s="351">
        <f t="shared" si="7"/>
        <v>21549.600000000002</v>
      </c>
      <c r="F221" s="407">
        <f t="shared" si="8"/>
        <v>0.0011841626857212256</v>
      </c>
      <c r="G221" s="351">
        <f t="shared" si="9"/>
        <v>117000.00999999998</v>
      </c>
    </row>
    <row r="222" spans="1:7" ht="15">
      <c r="A222" s="348" t="s">
        <v>189</v>
      </c>
      <c r="B222" s="350">
        <v>0.007549</v>
      </c>
      <c r="C222" s="351">
        <f t="shared" si="7"/>
        <v>110215.40000000001</v>
      </c>
      <c r="F222" s="407">
        <f t="shared" si="8"/>
        <v>0.005887985405449171</v>
      </c>
      <c r="G222" s="351">
        <f t="shared" si="9"/>
        <v>581756.5099999999</v>
      </c>
    </row>
    <row r="223" spans="1:7" ht="15">
      <c r="A223" s="348" t="s">
        <v>190</v>
      </c>
      <c r="B223" s="350">
        <v>0.000951</v>
      </c>
      <c r="C223" s="351">
        <f t="shared" si="7"/>
        <v>13884.6</v>
      </c>
      <c r="F223" s="407">
        <f t="shared" si="8"/>
        <v>0.0011841626857212256</v>
      </c>
      <c r="G223" s="351">
        <f t="shared" si="9"/>
        <v>117000.00999999998</v>
      </c>
    </row>
    <row r="224" spans="1:7" ht="15">
      <c r="A224" s="348" t="s">
        <v>191</v>
      </c>
      <c r="B224" s="350">
        <v>0.00056</v>
      </c>
      <c r="C224" s="351">
        <f t="shared" si="7"/>
        <v>8175.999999999999</v>
      </c>
      <c r="F224" s="407">
        <f t="shared" si="8"/>
        <v>0.0011841626857212256</v>
      </c>
      <c r="G224" s="351">
        <f t="shared" si="9"/>
        <v>117000.00999999998</v>
      </c>
    </row>
    <row r="225" spans="1:7" ht="15">
      <c r="A225" s="348" t="s">
        <v>192</v>
      </c>
      <c r="B225" s="350">
        <v>0.014172</v>
      </c>
      <c r="C225" s="351">
        <f t="shared" si="7"/>
        <v>206911.2</v>
      </c>
      <c r="F225" s="407">
        <f t="shared" si="8"/>
        <v>0.023792789259544145</v>
      </c>
      <c r="G225" s="351">
        <f t="shared" si="9"/>
        <v>2350822.7499999995</v>
      </c>
    </row>
    <row r="226" spans="1:7" ht="15">
      <c r="A226" s="348" t="s">
        <v>193</v>
      </c>
      <c r="B226" s="350">
        <v>0.000595</v>
      </c>
      <c r="C226" s="351">
        <f t="shared" si="7"/>
        <v>8687</v>
      </c>
      <c r="F226" s="407">
        <f t="shared" si="8"/>
        <v>0.0011841626857212256</v>
      </c>
      <c r="G226" s="351">
        <f t="shared" si="9"/>
        <v>117000.00999999998</v>
      </c>
    </row>
    <row r="227" spans="1:7" ht="15">
      <c r="A227" s="348" t="s">
        <v>194</v>
      </c>
      <c r="B227" s="350">
        <v>0.003453</v>
      </c>
      <c r="C227" s="351">
        <f t="shared" si="7"/>
        <v>50413.799999999996</v>
      </c>
      <c r="F227" s="407">
        <f t="shared" si="8"/>
        <v>0.0036933388324359336</v>
      </c>
      <c r="G227" s="351">
        <f t="shared" si="9"/>
        <v>364916.64999999997</v>
      </c>
    </row>
    <row r="228" spans="1:7" ht="15">
      <c r="A228" s="348" t="s">
        <v>195</v>
      </c>
      <c r="B228" s="350">
        <v>0.024875</v>
      </c>
      <c r="C228" s="351">
        <f t="shared" si="7"/>
        <v>363175</v>
      </c>
      <c r="F228" s="407">
        <f t="shared" si="8"/>
        <v>0.036548539836443864</v>
      </c>
      <c r="G228" s="351">
        <f t="shared" si="9"/>
        <v>3611141.9299999997</v>
      </c>
    </row>
    <row r="229" spans="1:7" ht="15">
      <c r="A229" s="348" t="s">
        <v>196</v>
      </c>
      <c r="B229" s="350">
        <v>0.000883</v>
      </c>
      <c r="C229" s="351">
        <f t="shared" si="7"/>
        <v>12891.8</v>
      </c>
      <c r="F229" s="407">
        <f t="shared" si="8"/>
        <v>0.0013059869033642361</v>
      </c>
      <c r="G229" s="351">
        <f t="shared" si="9"/>
        <v>129036.72999999998</v>
      </c>
    </row>
    <row r="230" spans="1:7" ht="15">
      <c r="A230" s="348" t="s">
        <v>197</v>
      </c>
      <c r="B230" s="350">
        <v>0.004231</v>
      </c>
      <c r="C230" s="351">
        <f t="shared" si="7"/>
        <v>61772.600000000006</v>
      </c>
      <c r="F230" s="407">
        <f t="shared" si="8"/>
        <v>0.002750951580907655</v>
      </c>
      <c r="G230" s="351">
        <f t="shared" si="9"/>
        <v>271805.01999999996</v>
      </c>
    </row>
    <row r="231" spans="1:7" ht="15">
      <c r="A231" s="348" t="s">
        <v>198</v>
      </c>
      <c r="B231" s="350">
        <v>0.003633</v>
      </c>
      <c r="C231" s="351">
        <f t="shared" si="7"/>
        <v>53041.799999999996</v>
      </c>
      <c r="F231" s="407">
        <f t="shared" si="8"/>
        <v>0.004565838630014979</v>
      </c>
      <c r="G231" s="351">
        <f t="shared" si="9"/>
        <v>451123.11999999994</v>
      </c>
    </row>
    <row r="232" spans="1:7" ht="15">
      <c r="A232" s="348" t="s">
        <v>199</v>
      </c>
      <c r="B232" s="350">
        <v>0.000497</v>
      </c>
      <c r="C232" s="351">
        <f t="shared" si="7"/>
        <v>7256.200000000001</v>
      </c>
      <c r="F232" s="407">
        <f t="shared" si="8"/>
        <v>0.0011841626857212256</v>
      </c>
      <c r="G232" s="351">
        <f t="shared" si="9"/>
        <v>117000.00999999998</v>
      </c>
    </row>
    <row r="233" spans="1:7" ht="15">
      <c r="A233" s="348" t="s">
        <v>200</v>
      </c>
      <c r="B233" s="350">
        <v>0.030187</v>
      </c>
      <c r="C233" s="351">
        <f t="shared" si="7"/>
        <v>440730.19999999995</v>
      </c>
      <c r="F233" s="407">
        <f t="shared" si="8"/>
        <v>0.038392657584713163</v>
      </c>
      <c r="G233" s="351">
        <f t="shared" si="9"/>
        <v>3793348.139999999</v>
      </c>
    </row>
    <row r="234" spans="1:7" ht="15">
      <c r="A234" s="348" t="s">
        <v>201</v>
      </c>
      <c r="B234" s="350">
        <v>0.007926</v>
      </c>
      <c r="C234" s="351">
        <f t="shared" si="7"/>
        <v>115719.6</v>
      </c>
      <c r="F234" s="407">
        <f t="shared" si="8"/>
        <v>0.005831739909315411</v>
      </c>
      <c r="G234" s="351">
        <f t="shared" si="9"/>
        <v>576199.2299999999</v>
      </c>
    </row>
    <row r="235" spans="1:7" ht="15">
      <c r="A235" s="348" t="s">
        <v>202</v>
      </c>
      <c r="B235" s="350">
        <v>0.002247</v>
      </c>
      <c r="C235" s="351">
        <f t="shared" si="7"/>
        <v>32806.2</v>
      </c>
      <c r="F235" s="407">
        <f t="shared" si="8"/>
        <v>0.001311104611149346</v>
      </c>
      <c r="G235" s="351">
        <f t="shared" si="9"/>
        <v>129542.37999999999</v>
      </c>
    </row>
    <row r="236" spans="1:7" ht="15">
      <c r="A236" s="348" t="s">
        <v>203</v>
      </c>
      <c r="B236" s="350">
        <v>0.001032</v>
      </c>
      <c r="C236" s="351">
        <f t="shared" si="7"/>
        <v>15067.199999999999</v>
      </c>
      <c r="F236" s="407">
        <f t="shared" si="8"/>
        <v>0.0011841626857212256</v>
      </c>
      <c r="G236" s="351">
        <f t="shared" si="9"/>
        <v>117000.00999999998</v>
      </c>
    </row>
    <row r="237" spans="1:7" ht="15">
      <c r="A237" s="348" t="s">
        <v>204</v>
      </c>
      <c r="B237" s="350">
        <v>0.317692</v>
      </c>
      <c r="C237" s="351">
        <f t="shared" si="7"/>
        <v>4638303.199999999</v>
      </c>
      <c r="F237" s="407">
        <f t="shared" si="8"/>
        <v>0.24695735041091452</v>
      </c>
      <c r="G237" s="351">
        <f t="shared" si="9"/>
        <v>24400374.049999997</v>
      </c>
    </row>
    <row r="238" spans="1:7" ht="15">
      <c r="A238" s="348" t="s">
        <v>205</v>
      </c>
      <c r="B238" s="350">
        <v>0.004643</v>
      </c>
      <c r="C238" s="351">
        <f t="shared" si="7"/>
        <v>67787.8</v>
      </c>
      <c r="F238" s="407">
        <f t="shared" si="8"/>
        <v>0.0042586241447714656</v>
      </c>
      <c r="G238" s="351">
        <f t="shared" si="9"/>
        <v>420769.0999999999</v>
      </c>
    </row>
    <row r="239" spans="1:7" ht="15">
      <c r="A239" s="348" t="s">
        <v>206</v>
      </c>
      <c r="B239" s="350">
        <v>0.003873</v>
      </c>
      <c r="C239" s="351">
        <f t="shared" si="7"/>
        <v>56545.8</v>
      </c>
      <c r="F239" s="407">
        <f t="shared" si="8"/>
        <v>0.007565014371887776</v>
      </c>
      <c r="G239" s="351">
        <f t="shared" si="9"/>
        <v>747453.6799999998</v>
      </c>
    </row>
    <row r="240" spans="1:7" ht="15">
      <c r="A240" s="348" t="s">
        <v>207</v>
      </c>
      <c r="B240" s="350">
        <v>0.000425</v>
      </c>
      <c r="C240" s="351">
        <f t="shared" si="7"/>
        <v>6205</v>
      </c>
      <c r="F240" s="407">
        <f t="shared" si="8"/>
        <v>0.0011841626857212256</v>
      </c>
      <c r="G240" s="351">
        <f t="shared" si="9"/>
        <v>117000.00999999998</v>
      </c>
    </row>
    <row r="241" spans="1:7" ht="15">
      <c r="A241" s="348" t="s">
        <v>208</v>
      </c>
      <c r="B241" s="350">
        <v>0.002726</v>
      </c>
      <c r="C241" s="351">
        <f t="shared" si="7"/>
        <v>39799.6</v>
      </c>
      <c r="F241" s="407">
        <f t="shared" si="8"/>
        <v>0.0016047702522165091</v>
      </c>
      <c r="G241" s="351">
        <f t="shared" si="9"/>
        <v>158557.71999999997</v>
      </c>
    </row>
    <row r="242" spans="1:7" ht="15">
      <c r="A242" s="348" t="s">
        <v>209</v>
      </c>
      <c r="B242" s="350">
        <v>0.006905</v>
      </c>
      <c r="C242" s="351">
        <f t="shared" si="7"/>
        <v>100813</v>
      </c>
      <c r="F242" s="407">
        <f t="shared" si="8"/>
        <v>0.01196477845026517</v>
      </c>
      <c r="G242" s="351">
        <f t="shared" si="9"/>
        <v>1182167.9699999997</v>
      </c>
    </row>
    <row r="243" spans="1:7" ht="15">
      <c r="A243" s="348" t="s">
        <v>210</v>
      </c>
      <c r="B243" s="350">
        <v>0.000182</v>
      </c>
      <c r="C243" s="351">
        <f t="shared" si="7"/>
        <v>2657.2000000000003</v>
      </c>
      <c r="F243" s="407">
        <f t="shared" si="8"/>
        <v>0.0011841626857212256</v>
      </c>
      <c r="G243" s="351">
        <f t="shared" si="9"/>
        <v>117000.00999999998</v>
      </c>
    </row>
    <row r="244" spans="1:7" ht="15">
      <c r="A244" s="348" t="s">
        <v>211</v>
      </c>
      <c r="B244" s="350">
        <v>0.000258</v>
      </c>
      <c r="C244" s="351">
        <f t="shared" si="7"/>
        <v>3766.7999999999997</v>
      </c>
      <c r="F244" s="407">
        <f t="shared" si="8"/>
        <v>0.0011841626857212256</v>
      </c>
      <c r="G244" s="351">
        <f t="shared" si="9"/>
        <v>117000.00999999998</v>
      </c>
    </row>
    <row r="245" spans="1:7" ht="15">
      <c r="A245" s="348" t="s">
        <v>212</v>
      </c>
      <c r="B245" s="350">
        <v>0.010637</v>
      </c>
      <c r="C245" s="351">
        <f t="shared" si="7"/>
        <v>155300.2</v>
      </c>
      <c r="F245" s="407">
        <f t="shared" si="8"/>
        <v>0.015783412513663414</v>
      </c>
      <c r="G245" s="351">
        <f t="shared" si="9"/>
        <v>1559464.2899999998</v>
      </c>
    </row>
    <row r="246" spans="1:7" ht="15">
      <c r="A246" s="348" t="s">
        <v>213</v>
      </c>
      <c r="B246" s="350">
        <v>0.002931</v>
      </c>
      <c r="C246" s="351">
        <f t="shared" si="7"/>
        <v>42792.6</v>
      </c>
      <c r="F246" s="407">
        <f t="shared" si="8"/>
        <v>0.0037709229383425767</v>
      </c>
      <c r="G246" s="351">
        <f t="shared" si="9"/>
        <v>372582.26999999996</v>
      </c>
    </row>
    <row r="247" spans="1:7" ht="15">
      <c r="A247" s="348" t="s">
        <v>214</v>
      </c>
      <c r="B247" s="350">
        <v>0.001505</v>
      </c>
      <c r="C247" s="351">
        <f t="shared" si="7"/>
        <v>21973</v>
      </c>
      <c r="F247" s="407">
        <f t="shared" si="8"/>
        <v>0.0017892940569207722</v>
      </c>
      <c r="G247" s="351">
        <f t="shared" si="9"/>
        <v>176789.40999999997</v>
      </c>
    </row>
    <row r="248" spans="1:7" ht="15">
      <c r="A248" s="348" t="s">
        <v>215</v>
      </c>
      <c r="B248" s="350">
        <v>0.065321</v>
      </c>
      <c r="C248" s="351">
        <f t="shared" si="7"/>
        <v>953686.6000000001</v>
      </c>
      <c r="F248" s="407">
        <f t="shared" si="8"/>
        <v>0.08672084186875025</v>
      </c>
      <c r="G248" s="351">
        <f t="shared" si="9"/>
        <v>8568366.059999999</v>
      </c>
    </row>
    <row r="249" spans="1:7" ht="15">
      <c r="A249" s="348" t="s">
        <v>216</v>
      </c>
      <c r="B249" s="350">
        <v>0.008254</v>
      </c>
      <c r="C249" s="351">
        <f t="shared" si="7"/>
        <v>120508.4</v>
      </c>
      <c r="F249" s="407">
        <f t="shared" si="8"/>
        <v>0.005917059633213231</v>
      </c>
      <c r="G249" s="351">
        <f t="shared" si="9"/>
        <v>584629.16</v>
      </c>
    </row>
    <row r="250" spans="1:7" ht="15">
      <c r="A250" s="348" t="s">
        <v>217</v>
      </c>
      <c r="B250" s="350">
        <v>0.000399</v>
      </c>
      <c r="C250" s="351">
        <f t="shared" si="7"/>
        <v>5825.4</v>
      </c>
      <c r="F250" s="407">
        <f t="shared" si="8"/>
        <v>0.0011841626857212256</v>
      </c>
      <c r="G250" s="351">
        <f t="shared" si="9"/>
        <v>117000.00999999998</v>
      </c>
    </row>
    <row r="251" spans="1:7" ht="15">
      <c r="A251" s="348" t="s">
        <v>218</v>
      </c>
      <c r="B251" s="350">
        <v>0.058375</v>
      </c>
      <c r="C251" s="351">
        <f t="shared" si="7"/>
        <v>852275</v>
      </c>
      <c r="F251" s="407">
        <f t="shared" si="8"/>
        <v>0.05985547032508805</v>
      </c>
      <c r="G251" s="351">
        <f t="shared" si="9"/>
        <v>5913959.89</v>
      </c>
    </row>
    <row r="252" spans="1:7" ht="15">
      <c r="A252" s="348" t="s">
        <v>219</v>
      </c>
      <c r="B252" s="350">
        <v>0.036563</v>
      </c>
      <c r="C252" s="351">
        <f t="shared" si="7"/>
        <v>533819.7999999999</v>
      </c>
      <c r="F252" s="407">
        <f t="shared" si="8"/>
        <v>0.03820830411724221</v>
      </c>
      <c r="G252" s="351">
        <f t="shared" si="9"/>
        <v>3775133.2799999993</v>
      </c>
    </row>
    <row r="253" spans="1:7" ht="15">
      <c r="A253" s="348" t="s">
        <v>220</v>
      </c>
      <c r="B253" s="350">
        <v>0.001481</v>
      </c>
      <c r="C253" s="351">
        <f t="shared" si="7"/>
        <v>21622.6</v>
      </c>
      <c r="F253" s="407">
        <f t="shared" si="8"/>
        <v>0.0013059869033642361</v>
      </c>
      <c r="G253" s="351">
        <f t="shared" si="9"/>
        <v>129036.72999999998</v>
      </c>
    </row>
    <row r="254" spans="1:7" ht="15">
      <c r="A254" s="348" t="s">
        <v>221</v>
      </c>
      <c r="B254" s="350">
        <v>0.071875</v>
      </c>
      <c r="C254" s="351">
        <f t="shared" si="7"/>
        <v>1049375</v>
      </c>
      <c r="F254" s="407">
        <f t="shared" si="8"/>
        <v>0.07733652868304924</v>
      </c>
      <c r="G254" s="351">
        <f t="shared" si="9"/>
        <v>7641158.379999998</v>
      </c>
    </row>
    <row r="255" spans="1:7" ht="15">
      <c r="A255" s="348" t="s">
        <v>222</v>
      </c>
      <c r="B255" s="350">
        <v>0.070735</v>
      </c>
      <c r="C255" s="351">
        <f t="shared" si="7"/>
        <v>1032731.0000000001</v>
      </c>
      <c r="F255" s="407">
        <f t="shared" si="8"/>
        <v>0.062389274017246255</v>
      </c>
      <c r="G255" s="351">
        <f t="shared" si="9"/>
        <v>6164309.829999999</v>
      </c>
    </row>
    <row r="256" spans="1:7" ht="15">
      <c r="A256" s="348" t="s">
        <v>223</v>
      </c>
      <c r="B256" s="350">
        <v>0.015002</v>
      </c>
      <c r="C256" s="351">
        <f t="shared" si="7"/>
        <v>219029.19999999998</v>
      </c>
      <c r="F256" s="407">
        <f t="shared" si="8"/>
        <v>0.012220533682846847</v>
      </c>
      <c r="G256" s="351">
        <f t="shared" si="9"/>
        <v>1207437.6099999999</v>
      </c>
    </row>
    <row r="257" spans="1:7" ht="15">
      <c r="A257" s="348" t="s">
        <v>224</v>
      </c>
      <c r="B257" s="350">
        <v>0.018909</v>
      </c>
      <c r="C257" s="351">
        <f t="shared" si="7"/>
        <v>276071.39999999997</v>
      </c>
      <c r="F257" s="407">
        <f t="shared" si="8"/>
        <v>0.02045187563256548</v>
      </c>
      <c r="G257" s="351">
        <f t="shared" si="9"/>
        <v>2020727.1199999999</v>
      </c>
    </row>
    <row r="258" spans="1:7" ht="15">
      <c r="A258" s="348" t="s">
        <v>225</v>
      </c>
      <c r="B258" s="350">
        <v>0.006169</v>
      </c>
      <c r="C258" s="351">
        <f t="shared" si="7"/>
        <v>90067.4</v>
      </c>
      <c r="F258" s="407">
        <f t="shared" si="8"/>
        <v>0.004327976498927169</v>
      </c>
      <c r="G258" s="351">
        <f t="shared" si="9"/>
        <v>427621.39</v>
      </c>
    </row>
    <row r="259" spans="1:7" ht="15">
      <c r="A259" s="360" t="s">
        <v>185</v>
      </c>
      <c r="B259" s="361">
        <v>0.012412</v>
      </c>
      <c r="C259" s="351">
        <f t="shared" si="7"/>
        <v>181215.19999999998</v>
      </c>
      <c r="D259" s="362"/>
      <c r="E259" s="362"/>
      <c r="F259" s="407">
        <f t="shared" si="8"/>
        <v>0.01844549886644265</v>
      </c>
      <c r="G259" s="351">
        <f t="shared" si="9"/>
        <v>1822489.0699999998</v>
      </c>
    </row>
    <row r="260" spans="1:7" ht="15">
      <c r="A260" s="360" t="s">
        <v>226</v>
      </c>
      <c r="B260" s="361">
        <v>0.010721</v>
      </c>
      <c r="C260" s="351">
        <f t="shared" si="7"/>
        <v>156526.6</v>
      </c>
      <c r="D260" s="362"/>
      <c r="E260" s="362"/>
      <c r="F260" s="407">
        <f t="shared" si="8"/>
        <v>0.012384337678636491</v>
      </c>
      <c r="G260" s="351">
        <f t="shared" si="9"/>
        <v>1223622.0999999999</v>
      </c>
    </row>
    <row r="261" spans="1:7" ht="15">
      <c r="A261" s="360" t="s">
        <v>227</v>
      </c>
      <c r="B261" s="361">
        <v>0.03603</v>
      </c>
      <c r="C261" s="351">
        <f t="shared" si="7"/>
        <v>526038</v>
      </c>
      <c r="D261" s="362"/>
      <c r="E261" s="362"/>
      <c r="F261" s="407">
        <f t="shared" si="8"/>
        <v>0.03249829085866968</v>
      </c>
      <c r="G261" s="351">
        <f t="shared" si="9"/>
        <v>3210961.1299999994</v>
      </c>
    </row>
    <row r="262" spans="1:7" ht="15">
      <c r="A262" s="360" t="s">
        <v>228</v>
      </c>
      <c r="B262" s="361">
        <v>0.004848</v>
      </c>
      <c r="C262" s="351">
        <f t="shared" si="7"/>
        <v>70780.8</v>
      </c>
      <c r="D262" s="362"/>
      <c r="E262" s="362"/>
      <c r="F262" s="407">
        <f t="shared" si="8"/>
        <v>0.004864469657098902</v>
      </c>
      <c r="G262" s="351">
        <f t="shared" si="9"/>
        <v>480629.05999999994</v>
      </c>
    </row>
    <row r="263" spans="1:7" ht="15">
      <c r="A263" s="348" t="s">
        <v>229</v>
      </c>
      <c r="B263" s="350">
        <v>0.008271</v>
      </c>
      <c r="C263" s="351">
        <f t="shared" si="7"/>
        <v>120756.6</v>
      </c>
      <c r="F263" s="407">
        <f t="shared" si="8"/>
        <v>0.004019965082385329</v>
      </c>
      <c r="G263" s="351">
        <f t="shared" si="9"/>
        <v>397188.63</v>
      </c>
    </row>
    <row r="264" spans="1:7" ht="15">
      <c r="A264" s="348" t="s">
        <v>230</v>
      </c>
      <c r="B264" s="350">
        <v>0.002097</v>
      </c>
      <c r="C264" s="351">
        <f t="shared" si="7"/>
        <v>30616.199999999997</v>
      </c>
      <c r="F264" s="407">
        <f t="shared" si="8"/>
        <v>0.0011841626857212256</v>
      </c>
      <c r="G264" s="351">
        <f t="shared" si="9"/>
        <v>117000.00999999998</v>
      </c>
    </row>
    <row r="265" spans="1:7" ht="15">
      <c r="A265" s="348" t="s">
        <v>231</v>
      </c>
      <c r="B265" s="350">
        <v>0.001198</v>
      </c>
      <c r="C265" s="351">
        <f t="shared" si="7"/>
        <v>17490.8</v>
      </c>
      <c r="F265" s="407">
        <f t="shared" si="8"/>
        <v>0.0011841626857212256</v>
      </c>
      <c r="G265" s="351">
        <f t="shared" si="9"/>
        <v>117000.00999999998</v>
      </c>
    </row>
    <row r="266" spans="1:7" ht="15">
      <c r="A266" s="348" t="s">
        <v>232</v>
      </c>
      <c r="B266" s="350">
        <v>0.01062</v>
      </c>
      <c r="C266" s="351">
        <f t="shared" si="7"/>
        <v>155052</v>
      </c>
      <c r="F266" s="407">
        <f t="shared" si="8"/>
        <v>0.013737001538399253</v>
      </c>
      <c r="G266" s="351">
        <f t="shared" si="9"/>
        <v>1357270.6999999997</v>
      </c>
    </row>
    <row r="267" spans="1:7" ht="15">
      <c r="A267" s="348" t="s">
        <v>233</v>
      </c>
      <c r="B267" s="350">
        <v>0.009317</v>
      </c>
      <c r="C267" s="351">
        <f t="shared" si="7"/>
        <v>136028.2</v>
      </c>
      <c r="F267" s="407">
        <f t="shared" si="8"/>
        <v>0.009778235294117647</v>
      </c>
      <c r="G267" s="351">
        <f t="shared" si="9"/>
        <v>966128.7599999999</v>
      </c>
    </row>
    <row r="268" spans="1:7" ht="15">
      <c r="A268" s="348" t="s">
        <v>234</v>
      </c>
      <c r="B268" s="350">
        <v>0.016617</v>
      </c>
      <c r="C268" s="351">
        <f t="shared" si="7"/>
        <v>242608.2</v>
      </c>
      <c r="F268" s="407">
        <f t="shared" si="8"/>
        <v>0.012241518562001535</v>
      </c>
      <c r="G268" s="351">
        <f t="shared" si="9"/>
        <v>1209510.9999999998</v>
      </c>
    </row>
    <row r="269" spans="1:7" ht="15">
      <c r="A269" s="348" t="s">
        <v>235</v>
      </c>
      <c r="B269" s="350">
        <v>0.003221</v>
      </c>
      <c r="C269" s="351">
        <f t="shared" si="7"/>
        <v>47026.6</v>
      </c>
      <c r="F269" s="407">
        <f t="shared" si="8"/>
        <v>0.0028285401400753004</v>
      </c>
      <c r="G269" s="351">
        <f t="shared" si="9"/>
        <v>279471.07999999996</v>
      </c>
    </row>
    <row r="270" spans="1:7" ht="15">
      <c r="A270" s="348" t="s">
        <v>236</v>
      </c>
      <c r="B270" s="350">
        <v>0.003338</v>
      </c>
      <c r="C270" s="351">
        <f t="shared" si="7"/>
        <v>48734.799999999996</v>
      </c>
      <c r="F270" s="407">
        <f t="shared" si="8"/>
        <v>0.00168633648435286</v>
      </c>
      <c r="G270" s="351">
        <f t="shared" si="9"/>
        <v>166616.78999999998</v>
      </c>
    </row>
    <row r="271" spans="1:7" ht="15">
      <c r="A271" s="348" t="s">
        <v>237</v>
      </c>
      <c r="B271" s="350">
        <v>0.000368</v>
      </c>
      <c r="C271" s="351">
        <f t="shared" si="7"/>
        <v>5372.8</v>
      </c>
      <c r="F271" s="407">
        <f t="shared" si="8"/>
        <v>0.0011841626857212256</v>
      </c>
      <c r="G271" s="351">
        <f t="shared" si="9"/>
        <v>117000.00999999998</v>
      </c>
    </row>
    <row r="272" spans="1:7" ht="15">
      <c r="A272" s="348" t="s">
        <v>238</v>
      </c>
      <c r="B272" s="350">
        <v>0.015667</v>
      </c>
      <c r="C272" s="351">
        <f t="shared" si="7"/>
        <v>228738.2</v>
      </c>
      <c r="F272" s="407">
        <f t="shared" si="8"/>
        <v>0.018853009291121815</v>
      </c>
      <c r="G272" s="351">
        <f t="shared" si="9"/>
        <v>1862752.7299999997</v>
      </c>
    </row>
    <row r="273" spans="1:7" ht="15">
      <c r="A273" s="348" t="s">
        <v>239</v>
      </c>
      <c r="B273" s="350">
        <v>0.001622</v>
      </c>
      <c r="C273" s="351">
        <f t="shared" si="7"/>
        <v>23681.2</v>
      </c>
      <c r="F273" s="407">
        <f t="shared" si="8"/>
        <v>0.0011841626857212256</v>
      </c>
      <c r="G273" s="351">
        <f t="shared" si="9"/>
        <v>117000.00999999998</v>
      </c>
    </row>
    <row r="274" spans="1:7" ht="15">
      <c r="A274" s="348" t="s">
        <v>240</v>
      </c>
      <c r="B274" s="350">
        <v>0.01628</v>
      </c>
      <c r="C274" s="351">
        <f t="shared" si="7"/>
        <v>237688</v>
      </c>
      <c r="F274" s="407">
        <f t="shared" si="8"/>
        <v>0.02031805645520424</v>
      </c>
      <c r="G274" s="351">
        <f t="shared" si="9"/>
        <v>2007505.2499999998</v>
      </c>
    </row>
    <row r="275" spans="1:7" ht="15">
      <c r="A275" s="348" t="s">
        <v>241</v>
      </c>
      <c r="B275" s="350">
        <v>0.008202</v>
      </c>
      <c r="C275" s="351">
        <f t="shared" si="7"/>
        <v>119749.19999999998</v>
      </c>
      <c r="F275" s="407">
        <f t="shared" si="8"/>
        <v>0.004991112404356098</v>
      </c>
      <c r="G275" s="351">
        <f t="shared" si="9"/>
        <v>493141.86999999994</v>
      </c>
    </row>
    <row r="276" spans="1:7" ht="15">
      <c r="A276" s="348" t="s">
        <v>242</v>
      </c>
      <c r="B276" s="350">
        <v>0.00276</v>
      </c>
      <c r="C276" s="351">
        <f t="shared" si="7"/>
        <v>40296</v>
      </c>
      <c r="F276" s="407">
        <f t="shared" si="8"/>
        <v>0.0019482202137565275</v>
      </c>
      <c r="G276" s="351">
        <f t="shared" si="9"/>
        <v>192491.94999999995</v>
      </c>
    </row>
    <row r="277" spans="1:7" ht="15">
      <c r="A277" s="348" t="s">
        <v>138</v>
      </c>
      <c r="B277" s="354">
        <v>0</v>
      </c>
      <c r="C277" s="355">
        <f t="shared" si="7"/>
        <v>0</v>
      </c>
      <c r="F277" s="407">
        <f t="shared" si="8"/>
        <v>0</v>
      </c>
      <c r="G277" s="351">
        <f t="shared" si="9"/>
        <v>0</v>
      </c>
    </row>
    <row r="278" spans="1:7" ht="15.75" thickBot="1">
      <c r="A278" s="348" t="s">
        <v>139</v>
      </c>
      <c r="B278" s="352">
        <f>SUM(B219:B277)</f>
        <v>0.9999999999999998</v>
      </c>
      <c r="C278" s="353">
        <f>SUM(C219:C277)</f>
        <v>14599999.999999996</v>
      </c>
      <c r="F278" s="358">
        <f>SUM(F219:F277)</f>
        <v>0.9999999999999997</v>
      </c>
      <c r="G278" s="359">
        <f>SUM(G219:G277)</f>
        <v>98804000</v>
      </c>
    </row>
    <row r="283" spans="1:7" ht="15">
      <c r="A283" s="606" t="s">
        <v>161</v>
      </c>
      <c r="B283" s="606"/>
      <c r="C283" s="606"/>
      <c r="D283" s="606"/>
      <c r="E283" s="606"/>
      <c r="F283" s="606"/>
      <c r="G283" s="606"/>
    </row>
    <row r="284" spans="1:7" ht="15" customHeight="1">
      <c r="A284" s="605" t="s">
        <v>249</v>
      </c>
      <c r="B284" s="605"/>
      <c r="C284" s="605"/>
      <c r="D284" s="605"/>
      <c r="E284" s="605"/>
      <c r="F284" s="605"/>
      <c r="G284" s="605"/>
    </row>
    <row r="285" spans="1:7" ht="15">
      <c r="A285" s="349"/>
      <c r="B285" s="349"/>
      <c r="C285" s="349"/>
      <c r="D285" s="349"/>
      <c r="E285" s="349"/>
      <c r="F285" s="349"/>
      <c r="G285" s="349"/>
    </row>
    <row r="286" spans="2:7" ht="15">
      <c r="B286" s="363" t="s">
        <v>162</v>
      </c>
      <c r="C286" s="367">
        <f>B31</f>
        <v>93351007.24000001</v>
      </c>
      <c r="D286" s="349"/>
      <c r="E286" s="349"/>
      <c r="F286" s="314" t="s">
        <v>163</v>
      </c>
      <c r="G286" s="364">
        <f>B32</f>
        <v>5452992.760000001</v>
      </c>
    </row>
    <row r="287" spans="1:6" ht="15.75" thickBot="1">
      <c r="A287" s="349"/>
      <c r="B287" s="409"/>
      <c r="C287" s="349"/>
      <c r="D287" s="349"/>
      <c r="E287" s="349"/>
      <c r="F287" s="409"/>
    </row>
    <row r="288" spans="1:7" ht="15.75" thickBot="1">
      <c r="A288" s="349"/>
      <c r="B288" s="607" t="s">
        <v>164</v>
      </c>
      <c r="C288" s="608"/>
      <c r="D288" s="349"/>
      <c r="E288" s="349"/>
      <c r="F288" s="610" t="s">
        <v>165</v>
      </c>
      <c r="G288" s="611"/>
    </row>
    <row r="289" spans="1:7" ht="6" customHeight="1" thickBot="1">
      <c r="A289" s="349"/>
      <c r="B289" s="356"/>
      <c r="C289" s="357"/>
      <c r="D289" s="349"/>
      <c r="E289" s="349"/>
      <c r="F289" s="356"/>
      <c r="G289" s="357"/>
    </row>
    <row r="290" spans="1:7" ht="15">
      <c r="A290" s="369"/>
      <c r="B290" s="587" t="s">
        <v>279</v>
      </c>
      <c r="C290" s="351"/>
      <c r="F290" s="587" t="s">
        <v>279</v>
      </c>
      <c r="G290" s="351"/>
    </row>
    <row r="291" spans="1:7" ht="15">
      <c r="A291" s="360" t="s">
        <v>186</v>
      </c>
      <c r="B291" s="350">
        <v>0.035006440279733174</v>
      </c>
      <c r="C291" s="351">
        <f>C$286*B291</f>
        <v>3267886.4599999995</v>
      </c>
      <c r="F291" s="350">
        <v>0.073556464798974</v>
      </c>
      <c r="G291" s="351">
        <f>G$286*F291</f>
        <v>401102.8700000001</v>
      </c>
    </row>
    <row r="292" spans="1:7" ht="15">
      <c r="A292" s="348" t="s">
        <v>187</v>
      </c>
      <c r="B292" s="350">
        <v>0.0012533342002320313</v>
      </c>
      <c r="C292" s="351">
        <f aca="true" t="shared" si="10" ref="C292:C349">C$286*B292</f>
        <v>117000.00999999998</v>
      </c>
      <c r="F292" s="350"/>
      <c r="G292" s="351">
        <f aca="true" t="shared" si="11" ref="G292:G349">G$286*F292</f>
        <v>0</v>
      </c>
    </row>
    <row r="293" spans="1:7" ht="15">
      <c r="A293" s="348" t="s">
        <v>188</v>
      </c>
      <c r="B293" s="350">
        <v>0.0012533342002320313</v>
      </c>
      <c r="C293" s="351">
        <f t="shared" si="10"/>
        <v>117000.00999999998</v>
      </c>
      <c r="F293" s="350"/>
      <c r="G293" s="351">
        <f t="shared" si="11"/>
        <v>0</v>
      </c>
    </row>
    <row r="294" spans="1:7" ht="15">
      <c r="A294" s="348" t="s">
        <v>189</v>
      </c>
      <c r="B294" s="350">
        <v>0.0062319253664220005</v>
      </c>
      <c r="C294" s="351">
        <f t="shared" si="10"/>
        <v>581756.5099999999</v>
      </c>
      <c r="F294" s="350"/>
      <c r="G294" s="351">
        <f t="shared" si="11"/>
        <v>0</v>
      </c>
    </row>
    <row r="295" spans="1:7" ht="15">
      <c r="A295" s="348" t="s">
        <v>190</v>
      </c>
      <c r="B295" s="350">
        <v>0.0012533342002320313</v>
      </c>
      <c r="C295" s="351">
        <f t="shared" si="10"/>
        <v>117000.00999999998</v>
      </c>
      <c r="F295" s="350"/>
      <c r="G295" s="351">
        <f t="shared" si="11"/>
        <v>0</v>
      </c>
    </row>
    <row r="296" spans="1:7" ht="15">
      <c r="A296" s="348" t="s">
        <v>191</v>
      </c>
      <c r="B296" s="350">
        <v>0.0012533342002320313</v>
      </c>
      <c r="C296" s="351">
        <f t="shared" si="10"/>
        <v>117000.00999999998</v>
      </c>
      <c r="F296" s="350"/>
      <c r="G296" s="351">
        <f t="shared" si="11"/>
        <v>0</v>
      </c>
    </row>
    <row r="297" spans="1:7" ht="15">
      <c r="A297" s="348" t="s">
        <v>192</v>
      </c>
      <c r="B297" s="350">
        <v>0.022462977015436855</v>
      </c>
      <c r="C297" s="351">
        <f t="shared" si="10"/>
        <v>2096941.5299999996</v>
      </c>
      <c r="F297" s="350">
        <v>0.04655814360553086</v>
      </c>
      <c r="G297" s="351">
        <f t="shared" si="11"/>
        <v>253881.2200000001</v>
      </c>
    </row>
    <row r="298" spans="1:7" ht="15">
      <c r="A298" s="348" t="s">
        <v>193</v>
      </c>
      <c r="B298" s="350">
        <v>0.0012533342002320313</v>
      </c>
      <c r="C298" s="351">
        <f t="shared" si="10"/>
        <v>117000.00999999998</v>
      </c>
      <c r="F298" s="350"/>
      <c r="G298" s="351">
        <f t="shared" si="11"/>
        <v>0</v>
      </c>
    </row>
    <row r="299" spans="1:7" ht="15">
      <c r="A299" s="348" t="s">
        <v>194</v>
      </c>
      <c r="B299" s="350">
        <v>0.003909081013575145</v>
      </c>
      <c r="C299" s="351">
        <f t="shared" si="10"/>
        <v>364916.64999999997</v>
      </c>
      <c r="F299" s="350"/>
      <c r="G299" s="351">
        <f t="shared" si="11"/>
        <v>0</v>
      </c>
    </row>
    <row r="300" spans="1:7" ht="15">
      <c r="A300" s="348" t="s">
        <v>195</v>
      </c>
      <c r="B300" s="350">
        <v>0.0341934123088097</v>
      </c>
      <c r="C300" s="351">
        <f t="shared" si="10"/>
        <v>3191989.4799999995</v>
      </c>
      <c r="F300" s="350">
        <v>0.07686649670152874</v>
      </c>
      <c r="G300" s="351">
        <f t="shared" si="11"/>
        <v>419152.4500000002</v>
      </c>
    </row>
    <row r="301" spans="1:7" ht="15">
      <c r="A301" s="348" t="s">
        <v>196</v>
      </c>
      <c r="B301" s="350">
        <v>0.0012533342002320313</v>
      </c>
      <c r="C301" s="351">
        <f t="shared" si="10"/>
        <v>117000.00999999998</v>
      </c>
      <c r="F301" s="350">
        <v>0.002207360348668426</v>
      </c>
      <c r="G301" s="351">
        <f t="shared" si="11"/>
        <v>12036.720000000005</v>
      </c>
    </row>
    <row r="302" spans="1:7" ht="15">
      <c r="A302" s="348" t="s">
        <v>197</v>
      </c>
      <c r="B302" s="350">
        <v>0.0027827048435819313</v>
      </c>
      <c r="C302" s="351">
        <f t="shared" si="10"/>
        <v>259768.29999999996</v>
      </c>
      <c r="F302" s="350">
        <v>0.002207360348668426</v>
      </c>
      <c r="G302" s="351">
        <f t="shared" si="11"/>
        <v>12036.720000000005</v>
      </c>
    </row>
    <row r="303" spans="1:7" ht="15">
      <c r="A303" s="348" t="s">
        <v>198</v>
      </c>
      <c r="B303" s="350">
        <v>0.004832546893041964</v>
      </c>
      <c r="C303" s="351">
        <f t="shared" si="10"/>
        <v>451123.11999999994</v>
      </c>
      <c r="F303" s="350"/>
      <c r="G303" s="351">
        <f t="shared" si="11"/>
        <v>0</v>
      </c>
    </row>
    <row r="304" spans="1:7" ht="15">
      <c r="A304" s="348" t="s">
        <v>199</v>
      </c>
      <c r="B304" s="350">
        <v>0.0012533342002320313</v>
      </c>
      <c r="C304" s="351">
        <f t="shared" si="10"/>
        <v>117000.00999999998</v>
      </c>
      <c r="F304" s="350"/>
      <c r="G304" s="351">
        <f t="shared" si="11"/>
        <v>0</v>
      </c>
    </row>
    <row r="305" spans="1:7" ht="15">
      <c r="A305" s="348" t="s">
        <v>200</v>
      </c>
      <c r="B305" s="350">
        <v>0.03534876567015817</v>
      </c>
      <c r="C305" s="351">
        <f t="shared" si="10"/>
        <v>3299842.879999999</v>
      </c>
      <c r="F305" s="350">
        <v>0.09050172661516612</v>
      </c>
      <c r="G305" s="351">
        <f t="shared" si="11"/>
        <v>493505.2600000002</v>
      </c>
    </row>
    <row r="306" spans="1:7" ht="15">
      <c r="A306" s="348" t="s">
        <v>201</v>
      </c>
      <c r="B306" s="350">
        <v>0.0056566329128341164</v>
      </c>
      <c r="C306" s="351">
        <f t="shared" si="10"/>
        <v>528052.3799999999</v>
      </c>
      <c r="F306" s="350">
        <v>0.008829435893107624</v>
      </c>
      <c r="G306" s="351">
        <f t="shared" si="11"/>
        <v>48146.85000000001</v>
      </c>
    </row>
    <row r="307" spans="1:7" ht="15">
      <c r="A307" s="348" t="s">
        <v>202</v>
      </c>
      <c r="B307" s="350">
        <v>0.0012533342002320313</v>
      </c>
      <c r="C307" s="351">
        <f t="shared" si="10"/>
        <v>117000.00999999998</v>
      </c>
      <c r="F307" s="350">
        <v>0.0023000892449378573</v>
      </c>
      <c r="G307" s="351">
        <f t="shared" si="11"/>
        <v>12542.370000000004</v>
      </c>
    </row>
    <row r="308" spans="1:7" ht="15">
      <c r="A308" s="348" t="s">
        <v>203</v>
      </c>
      <c r="B308" s="350">
        <v>0.0012533342002320313</v>
      </c>
      <c r="C308" s="351">
        <f t="shared" si="10"/>
        <v>117000.00999999998</v>
      </c>
      <c r="F308" s="350"/>
      <c r="G308" s="351">
        <f t="shared" si="11"/>
        <v>0</v>
      </c>
    </row>
    <row r="309" spans="1:7" ht="15">
      <c r="A309" s="348" t="s">
        <v>204</v>
      </c>
      <c r="B309" s="350">
        <v>0.24476789833939017</v>
      </c>
      <c r="C309" s="351">
        <f t="shared" si="10"/>
        <v>22849329.849999998</v>
      </c>
      <c r="F309" s="350">
        <v>0.2844390719491805</v>
      </c>
      <c r="G309" s="351">
        <f t="shared" si="11"/>
        <v>1551044.2000000007</v>
      </c>
    </row>
    <row r="310" spans="1:7" ht="15">
      <c r="A310" s="348" t="s">
        <v>205</v>
      </c>
      <c r="B310" s="350">
        <v>0.0045073868235639605</v>
      </c>
      <c r="C310" s="351">
        <f t="shared" si="10"/>
        <v>420769.0999999999</v>
      </c>
      <c r="F310" s="350"/>
      <c r="G310" s="351">
        <f t="shared" si="11"/>
        <v>0</v>
      </c>
    </row>
    <row r="311" spans="1:7" ht="15">
      <c r="A311" s="348" t="s">
        <v>206</v>
      </c>
      <c r="B311" s="350">
        <v>0.00784876619613001</v>
      </c>
      <c r="C311" s="351">
        <f t="shared" si="10"/>
        <v>732690.2299999999</v>
      </c>
      <c r="F311" s="350">
        <v>0.0027074031911973424</v>
      </c>
      <c r="G311" s="351">
        <f t="shared" si="11"/>
        <v>14763.450000000006</v>
      </c>
    </row>
    <row r="312" spans="1:7" ht="15">
      <c r="A312" s="348" t="s">
        <v>207</v>
      </c>
      <c r="B312" s="350">
        <v>0.0012533342002320313</v>
      </c>
      <c r="C312" s="351">
        <f t="shared" si="10"/>
        <v>117000.00999999998</v>
      </c>
      <c r="F312" s="350"/>
      <c r="G312" s="351">
        <f t="shared" si="11"/>
        <v>0</v>
      </c>
    </row>
    <row r="313" spans="1:7" ht="15">
      <c r="A313" s="348" t="s">
        <v>208</v>
      </c>
      <c r="B313" s="350">
        <v>0.0015606297597351982</v>
      </c>
      <c r="C313" s="351">
        <f t="shared" si="10"/>
        <v>145686.35999999996</v>
      </c>
      <c r="F313" s="350">
        <v>0.002360421252420662</v>
      </c>
      <c r="G313" s="351">
        <f t="shared" si="11"/>
        <v>12871.360000000004</v>
      </c>
    </row>
    <row r="314" spans="1:7" ht="15">
      <c r="A314" s="348" t="s">
        <v>209</v>
      </c>
      <c r="B314" s="350">
        <v>0.011632164366564147</v>
      </c>
      <c r="C314" s="351">
        <f t="shared" si="10"/>
        <v>1085874.2599999998</v>
      </c>
      <c r="F314" s="350">
        <v>0.01765887362007061</v>
      </c>
      <c r="G314" s="351">
        <f t="shared" si="11"/>
        <v>96293.71000000005</v>
      </c>
    </row>
    <row r="315" spans="1:7" ht="15">
      <c r="A315" s="348" t="s">
        <v>210</v>
      </c>
      <c r="B315" s="350">
        <v>0.0012533342002320313</v>
      </c>
      <c r="C315" s="351">
        <f t="shared" si="10"/>
        <v>117000.00999999998</v>
      </c>
      <c r="F315" s="350"/>
      <c r="G315" s="351">
        <f t="shared" si="11"/>
        <v>0</v>
      </c>
    </row>
    <row r="316" spans="1:7" ht="15">
      <c r="A316" s="348" t="s">
        <v>211</v>
      </c>
      <c r="B316" s="350">
        <v>0.0012533342002320313</v>
      </c>
      <c r="C316" s="351">
        <f t="shared" si="10"/>
        <v>117000.00999999998</v>
      </c>
      <c r="F316" s="350"/>
      <c r="G316" s="351">
        <f t="shared" si="11"/>
        <v>0</v>
      </c>
    </row>
    <row r="317" spans="1:7" ht="15">
      <c r="A317" s="348" t="s">
        <v>212</v>
      </c>
      <c r="B317" s="350">
        <v>0.014303205819378361</v>
      </c>
      <c r="C317" s="351">
        <f t="shared" si="10"/>
        <v>1335218.6699999997</v>
      </c>
      <c r="F317" s="350">
        <v>0.0411234032153749</v>
      </c>
      <c r="G317" s="351">
        <f t="shared" si="11"/>
        <v>224245.62000000008</v>
      </c>
    </row>
    <row r="318" spans="1:7" ht="15">
      <c r="A318" s="348" t="s">
        <v>213</v>
      </c>
      <c r="B318" s="350">
        <v>0.003991197106659091</v>
      </c>
      <c r="C318" s="351">
        <f t="shared" si="10"/>
        <v>372582.26999999996</v>
      </c>
      <c r="F318" s="350"/>
      <c r="G318" s="351">
        <f t="shared" si="11"/>
        <v>0</v>
      </c>
    </row>
    <row r="319" spans="1:7" ht="15">
      <c r="A319" s="348" t="s">
        <v>214</v>
      </c>
      <c r="B319" s="350">
        <v>0.0018938136312282596</v>
      </c>
      <c r="C319" s="351">
        <f t="shared" si="10"/>
        <v>176789.40999999997</v>
      </c>
      <c r="F319" s="350"/>
      <c r="G319" s="351">
        <f t="shared" si="11"/>
        <v>0</v>
      </c>
    </row>
    <row r="320" spans="1:7" ht="15">
      <c r="A320" s="348" t="s">
        <v>215</v>
      </c>
      <c r="B320" s="350">
        <v>0.090029066193073</v>
      </c>
      <c r="C320" s="351">
        <f t="shared" si="10"/>
        <v>8404304.009999998</v>
      </c>
      <c r="F320" s="350">
        <v>0.030086606973598846</v>
      </c>
      <c r="G320" s="351">
        <f t="shared" si="11"/>
        <v>164062.05000000005</v>
      </c>
    </row>
    <row r="321" spans="1:7" ht="15">
      <c r="A321" s="348" t="s">
        <v>216</v>
      </c>
      <c r="B321" s="350">
        <v>0.0062626979320850006</v>
      </c>
      <c r="C321" s="351">
        <f t="shared" si="10"/>
        <v>584629.16</v>
      </c>
      <c r="F321" s="350"/>
      <c r="G321" s="351">
        <f t="shared" si="11"/>
        <v>0</v>
      </c>
    </row>
    <row r="322" spans="1:7" ht="15">
      <c r="A322" s="348" t="s">
        <v>217</v>
      </c>
      <c r="B322" s="350">
        <v>0.0012533342002320313</v>
      </c>
      <c r="C322" s="351">
        <f t="shared" si="10"/>
        <v>117000.00999999998</v>
      </c>
      <c r="F322" s="350"/>
      <c r="G322" s="351">
        <f t="shared" si="11"/>
        <v>0</v>
      </c>
    </row>
    <row r="323" spans="1:7" ht="15">
      <c r="A323" s="348" t="s">
        <v>218</v>
      </c>
      <c r="B323" s="350">
        <v>0.061675634684881825</v>
      </c>
      <c r="C323" s="351">
        <f t="shared" si="10"/>
        <v>5757482.619999999</v>
      </c>
      <c r="F323" s="350">
        <v>0.028695668027991297</v>
      </c>
      <c r="G323" s="351">
        <f t="shared" si="11"/>
        <v>156477.27000000005</v>
      </c>
    </row>
    <row r="324" spans="1:7" ht="15">
      <c r="A324" s="348" t="s">
        <v>219</v>
      </c>
      <c r="B324" s="350">
        <v>0.03876397391938841</v>
      </c>
      <c r="C324" s="351">
        <f t="shared" si="10"/>
        <v>3618656.0099999993</v>
      </c>
      <c r="F324" s="350">
        <v>0.028695668027991297</v>
      </c>
      <c r="G324" s="351">
        <f t="shared" si="11"/>
        <v>156477.27000000005</v>
      </c>
    </row>
    <row r="325" spans="1:7" ht="15">
      <c r="A325" s="348" t="s">
        <v>220</v>
      </c>
      <c r="B325" s="350">
        <v>0.0012533342002320313</v>
      </c>
      <c r="C325" s="351">
        <f t="shared" si="10"/>
        <v>117000.00999999998</v>
      </c>
      <c r="F325" s="350">
        <v>0.002207360348668426</v>
      </c>
      <c r="G325" s="351">
        <f t="shared" si="11"/>
        <v>12036.720000000005</v>
      </c>
    </row>
    <row r="326" spans="1:7" ht="15">
      <c r="A326" s="348" t="s">
        <v>221</v>
      </c>
      <c r="B326" s="350">
        <v>0.08056465026311373</v>
      </c>
      <c r="C326" s="351">
        <f t="shared" si="10"/>
        <v>7520791.249999998</v>
      </c>
      <c r="F326" s="350">
        <v>0.02207359064969674</v>
      </c>
      <c r="G326" s="351">
        <f t="shared" si="11"/>
        <v>120367.13000000005</v>
      </c>
    </row>
    <row r="327" spans="1:7" ht="15">
      <c r="A327" s="348" t="s">
        <v>222</v>
      </c>
      <c r="B327" s="350">
        <v>0.06215192263628755</v>
      </c>
      <c r="C327" s="351">
        <f t="shared" si="10"/>
        <v>5801944.579999999</v>
      </c>
      <c r="F327" s="350">
        <v>0.06645254559259677</v>
      </c>
      <c r="G327" s="351">
        <f t="shared" si="11"/>
        <v>362365.2500000001</v>
      </c>
    </row>
    <row r="328" spans="1:7" ht="15">
      <c r="A328" s="348" t="s">
        <v>223</v>
      </c>
      <c r="B328" s="350">
        <v>0.012934382238594899</v>
      </c>
      <c r="C328" s="351">
        <f t="shared" si="10"/>
        <v>1207437.6099999999</v>
      </c>
      <c r="F328" s="350"/>
      <c r="G328" s="351">
        <f t="shared" si="11"/>
        <v>0</v>
      </c>
    </row>
    <row r="329" spans="1:7" ht="15">
      <c r="A329" s="348" t="s">
        <v>224</v>
      </c>
      <c r="B329" s="350">
        <v>0.02065459331405924</v>
      </c>
      <c r="C329" s="351">
        <f t="shared" si="10"/>
        <v>1928127.0899999999</v>
      </c>
      <c r="F329" s="350">
        <v>0.016981506133523644</v>
      </c>
      <c r="G329" s="351">
        <f t="shared" si="11"/>
        <v>92600.03000000004</v>
      </c>
    </row>
    <row r="330" spans="1:7" ht="15">
      <c r="A330" s="348" t="s">
        <v>225</v>
      </c>
      <c r="B330" s="350">
        <v>0.004065028875632729</v>
      </c>
      <c r="C330" s="351">
        <f t="shared" si="10"/>
        <v>379474.54</v>
      </c>
      <c r="F330" s="350">
        <v>0.008829435893107624</v>
      </c>
      <c r="G330" s="351">
        <f t="shared" si="11"/>
        <v>48146.85000000001</v>
      </c>
    </row>
    <row r="331" spans="1:7" ht="15">
      <c r="A331" s="360" t="s">
        <v>185</v>
      </c>
      <c r="B331" s="361">
        <v>0.01783661997046492</v>
      </c>
      <c r="C331" s="351">
        <f t="shared" si="10"/>
        <v>1665066.4399999997</v>
      </c>
      <c r="D331" s="362"/>
      <c r="E331" s="362"/>
      <c r="F331" s="361">
        <v>0.028869033378287494</v>
      </c>
      <c r="G331" s="351">
        <f t="shared" si="11"/>
        <v>157422.63000000006</v>
      </c>
    </row>
    <row r="332" spans="1:7" ht="15">
      <c r="A332" s="360" t="s">
        <v>226</v>
      </c>
      <c r="B332" s="361">
        <v>0.012591993217362093</v>
      </c>
      <c r="C332" s="351">
        <f t="shared" si="10"/>
        <v>1175475.2499999998</v>
      </c>
      <c r="D332" s="362"/>
      <c r="E332" s="362"/>
      <c r="F332" s="361">
        <v>0.008829435893107624</v>
      </c>
      <c r="G332" s="351">
        <f t="shared" si="11"/>
        <v>48146.85000000001</v>
      </c>
    </row>
    <row r="333" spans="1:7" ht="15">
      <c r="A333" s="360" t="s">
        <v>227</v>
      </c>
      <c r="B333" s="361">
        <v>0.03297829740696003</v>
      </c>
      <c r="C333" s="351">
        <f t="shared" si="10"/>
        <v>3078557.2799999993</v>
      </c>
      <c r="D333" s="362"/>
      <c r="E333" s="362"/>
      <c r="F333" s="361">
        <v>0.024280950998365167</v>
      </c>
      <c r="G333" s="351">
        <f t="shared" si="11"/>
        <v>132403.85000000003</v>
      </c>
    </row>
    <row r="334" spans="1:7" ht="15">
      <c r="A334" s="360" t="s">
        <v>228</v>
      </c>
      <c r="B334" s="361">
        <v>0.004872859473604967</v>
      </c>
      <c r="C334" s="351">
        <f t="shared" si="10"/>
        <v>454886.3399999999</v>
      </c>
      <c r="D334" s="362"/>
      <c r="E334" s="362"/>
      <c r="F334" s="361">
        <v>0.004720842504841324</v>
      </c>
      <c r="G334" s="351">
        <f t="shared" si="11"/>
        <v>25742.72000000001</v>
      </c>
    </row>
    <row r="335" spans="1:7" ht="15">
      <c r="A335" s="348" t="s">
        <v>229</v>
      </c>
      <c r="B335" s="350">
        <v>0.003885864124287299</v>
      </c>
      <c r="C335" s="351">
        <f t="shared" si="10"/>
        <v>362749.32999999996</v>
      </c>
      <c r="F335" s="350">
        <v>0.006315669489353954</v>
      </c>
      <c r="G335" s="351">
        <f t="shared" si="11"/>
        <v>34439.30000000002</v>
      </c>
    </row>
    <row r="336" spans="1:7" ht="15">
      <c r="A336" s="348" t="s">
        <v>230</v>
      </c>
      <c r="B336" s="350">
        <v>0.0012533342002320313</v>
      </c>
      <c r="C336" s="351">
        <f t="shared" si="10"/>
        <v>117000.00999999998</v>
      </c>
      <c r="F336" s="350"/>
      <c r="G336" s="351">
        <f t="shared" si="11"/>
        <v>0</v>
      </c>
    </row>
    <row r="337" spans="1:7" ht="15">
      <c r="A337" s="348" t="s">
        <v>231</v>
      </c>
      <c r="B337" s="350">
        <v>0.0012533342002320313</v>
      </c>
      <c r="C337" s="351">
        <f t="shared" si="10"/>
        <v>117000.00999999998</v>
      </c>
      <c r="F337" s="350"/>
      <c r="G337" s="351">
        <f t="shared" si="11"/>
        <v>0</v>
      </c>
    </row>
    <row r="338" spans="1:7" ht="15">
      <c r="A338" s="348" t="s">
        <v>232</v>
      </c>
      <c r="B338" s="350">
        <v>0.013636850288365454</v>
      </c>
      <c r="C338" s="351">
        <f t="shared" si="10"/>
        <v>1273013.7099999997</v>
      </c>
      <c r="F338" s="350">
        <v>0.015451513271402184</v>
      </c>
      <c r="G338" s="351">
        <f t="shared" si="11"/>
        <v>84256.99000000003</v>
      </c>
    </row>
    <row r="339" spans="1:7" ht="15">
      <c r="A339" s="348" t="s">
        <v>233</v>
      </c>
      <c r="B339" s="350">
        <v>0.009301646716758016</v>
      </c>
      <c r="C339" s="351">
        <f t="shared" si="10"/>
        <v>868318.0899999999</v>
      </c>
      <c r="F339" s="350">
        <v>0.017937062142734262</v>
      </c>
      <c r="G339" s="351">
        <f t="shared" si="11"/>
        <v>97810.67000000003</v>
      </c>
    </row>
    <row r="340" spans="1:7" ht="15">
      <c r="A340" s="348" t="s">
        <v>234</v>
      </c>
      <c r="B340" s="350">
        <v>0.012311891044144235</v>
      </c>
      <c r="C340" s="351">
        <f t="shared" si="10"/>
        <v>1149327.4299999997</v>
      </c>
      <c r="F340" s="350">
        <v>0.01103679624177605</v>
      </c>
      <c r="G340" s="351">
        <f t="shared" si="11"/>
        <v>60183.57000000002</v>
      </c>
    </row>
    <row r="341" spans="1:7" ht="15">
      <c r="A341" s="348" t="s">
        <v>235</v>
      </c>
      <c r="B341" s="350">
        <v>0.002735885423746821</v>
      </c>
      <c r="C341" s="351">
        <f t="shared" si="10"/>
        <v>255397.65999999997</v>
      </c>
      <c r="F341" s="350">
        <v>0.004414717029626132</v>
      </c>
      <c r="G341" s="351">
        <f t="shared" si="11"/>
        <v>24073.420000000006</v>
      </c>
    </row>
    <row r="342" spans="1:7" ht="15">
      <c r="A342" s="348" t="s">
        <v>236</v>
      </c>
      <c r="B342" s="350">
        <v>0.0017848419093287114</v>
      </c>
      <c r="C342" s="351">
        <f t="shared" si="10"/>
        <v>166616.78999999998</v>
      </c>
      <c r="F342" s="350"/>
      <c r="G342" s="351">
        <f t="shared" si="11"/>
        <v>0</v>
      </c>
    </row>
    <row r="343" spans="1:7" ht="15">
      <c r="A343" s="348" t="s">
        <v>237</v>
      </c>
      <c r="B343" s="350">
        <v>0.0012533342002320313</v>
      </c>
      <c r="C343" s="351">
        <f t="shared" si="10"/>
        <v>117000.00999999998</v>
      </c>
      <c r="F343" s="350"/>
      <c r="G343" s="351">
        <f t="shared" si="11"/>
        <v>0</v>
      </c>
    </row>
    <row r="344" spans="1:7" ht="15">
      <c r="A344" s="348" t="s">
        <v>238</v>
      </c>
      <c r="B344" s="350">
        <v>0.01888001867477225</v>
      </c>
      <c r="C344" s="351">
        <f t="shared" si="10"/>
        <v>1762468.7599999998</v>
      </c>
      <c r="F344" s="350">
        <v>0.018390629588879194</v>
      </c>
      <c r="G344" s="351">
        <f t="shared" si="11"/>
        <v>100283.97000000003</v>
      </c>
    </row>
    <row r="345" spans="1:7" ht="15">
      <c r="A345" s="348" t="s">
        <v>239</v>
      </c>
      <c r="B345" s="350">
        <v>0.0012533342002320313</v>
      </c>
      <c r="C345" s="351">
        <f t="shared" si="10"/>
        <v>117000.00999999998</v>
      </c>
      <c r="F345" s="350"/>
      <c r="G345" s="351">
        <f t="shared" si="11"/>
        <v>0</v>
      </c>
    </row>
    <row r="346" spans="1:7" ht="15">
      <c r="A346" s="348" t="s">
        <v>240</v>
      </c>
      <c r="B346" s="350">
        <v>0.02124703191365372</v>
      </c>
      <c r="C346" s="351">
        <f t="shared" si="10"/>
        <v>1983431.8299999998</v>
      </c>
      <c r="F346" s="350">
        <v>0.004414717029626132</v>
      </c>
      <c r="G346" s="351">
        <f t="shared" si="11"/>
        <v>24073.420000000006</v>
      </c>
    </row>
    <row r="347" spans="1:7" ht="15">
      <c r="A347" s="348" t="s">
        <v>241</v>
      </c>
      <c r="B347" s="350">
        <v>0.005282662550519256</v>
      </c>
      <c r="C347" s="351">
        <f t="shared" si="10"/>
        <v>493141.86999999994</v>
      </c>
      <c r="F347" s="350"/>
      <c r="G347" s="351">
        <f t="shared" si="11"/>
        <v>0</v>
      </c>
    </row>
    <row r="348" spans="1:7" ht="15">
      <c r="A348" s="348" t="s">
        <v>242</v>
      </c>
      <c r="B348" s="350">
        <v>0.002062023278496764</v>
      </c>
      <c r="C348" s="351">
        <f t="shared" si="10"/>
        <v>192491.94999999995</v>
      </c>
      <c r="F348" s="350"/>
      <c r="G348" s="351">
        <f t="shared" si="11"/>
        <v>0</v>
      </c>
    </row>
    <row r="349" spans="1:7" ht="15">
      <c r="A349" s="348" t="s">
        <v>138</v>
      </c>
      <c r="B349" s="354">
        <v>0</v>
      </c>
      <c r="C349" s="355">
        <f t="shared" si="10"/>
        <v>0</v>
      </c>
      <c r="F349" s="350"/>
      <c r="G349" s="351">
        <f t="shared" si="11"/>
        <v>0</v>
      </c>
    </row>
    <row r="350" spans="1:7" ht="15.75" thickBot="1">
      <c r="A350" s="348" t="s">
        <v>139</v>
      </c>
      <c r="B350" s="352">
        <f>SUM(B291:B349)</f>
        <v>0.9999999999999997</v>
      </c>
      <c r="C350" s="353">
        <f>SUM(C291:C349)</f>
        <v>93351007.24000001</v>
      </c>
      <c r="F350" s="499">
        <f>SUM(F291:F349)</f>
        <v>0.9999999999999998</v>
      </c>
      <c r="G350" s="500">
        <f>SUM(G291:G349)</f>
        <v>5452992.760000001</v>
      </c>
    </row>
  </sheetData>
  <sheetProtection/>
  <mergeCells count="21">
    <mergeCell ref="B288:C288"/>
    <mergeCell ref="F288:G288"/>
    <mergeCell ref="A283:G283"/>
    <mergeCell ref="A284:G284"/>
    <mergeCell ref="A137:G137"/>
    <mergeCell ref="A211:G211"/>
    <mergeCell ref="A212:G212"/>
    <mergeCell ref="B216:C216"/>
    <mergeCell ref="F216:G216"/>
    <mergeCell ref="A139:G139"/>
    <mergeCell ref="A140:G140"/>
    <mergeCell ref="B144:C144"/>
    <mergeCell ref="F144:G144"/>
    <mergeCell ref="A4:G4"/>
    <mergeCell ref="A65:G65"/>
    <mergeCell ref="A66:G66"/>
    <mergeCell ref="B70:C70"/>
    <mergeCell ref="F70:G70"/>
    <mergeCell ref="A37:G37"/>
    <mergeCell ref="A6:G6"/>
    <mergeCell ref="A38:G38"/>
  </mergeCells>
  <hyperlinks>
    <hyperlink ref="A11" r:id="rId1" display="http://www.sco.ca.gov/ard_payments_lrf_recon.html"/>
    <hyperlink ref="A12:A13" r:id="rId2" display="Protective Services"/>
    <hyperlink ref="A27" r:id="rId3" display="http://www.sco.ca.gov/ard_payments_lrf_recon.html"/>
    <hyperlink ref="A28" r:id="rId4" display="http://www.sco.ca.gov/ard_payments_lrf_recon.html"/>
    <hyperlink ref="A29" r:id="rId5" display="http://www.sco.ca.gov/ard_payments_lrf_recon.html"/>
    <hyperlink ref="A12" r:id="rId6" display="http://www.sco.ca.gov/ard_payments_lrf_recon.html"/>
    <hyperlink ref="A13" r:id="rId7" display="http://www.sco.ca.gov/ard_payments_lrf_recon.html"/>
    <hyperlink ref="A30" r:id="rId8" display="http://www.sco.ca.gov/ard_payments_lrf_recon.html"/>
  </hyperlinks>
  <printOptions/>
  <pageMargins left="1.25" right="1" top="1" bottom="1" header="0.3" footer="0.3"/>
  <pageSetup fitToHeight="5" fitToWidth="1" horizontalDpi="600" verticalDpi="600" orientation="portrait" scale="61" r:id="rId9"/>
  <headerFooter alignWithMargins="0">
    <oddHeader>&amp;C&amp;"Calibri,Bold"&amp;14&amp;A</oddHeader>
    <oddFooter>&amp;L&amp;Z&amp;F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zoomScalePageLayoutView="0" workbookViewId="0" topLeftCell="A1">
      <pane xSplit="4" ySplit="4" topLeftCell="N6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31" sqref="L31"/>
    </sheetView>
  </sheetViews>
  <sheetFormatPr defaultColWidth="9.140625" defaultRowHeight="15" outlineLevelRow="2"/>
  <cols>
    <col min="1" max="1" width="30.00390625" style="84" customWidth="1"/>
    <col min="2" max="3" width="15.00390625" style="579" customWidth="1"/>
    <col min="4" max="4" width="19.00390625" style="0" bestFit="1" customWidth="1"/>
    <col min="5" max="6" width="13.7109375" style="0" bestFit="1" customWidth="1"/>
    <col min="7" max="7" width="12.7109375" style="0" customWidth="1"/>
    <col min="8" max="8" width="13.7109375" style="0" bestFit="1" customWidth="1"/>
    <col min="9" max="16" width="12.7109375" style="0" customWidth="1"/>
    <col min="17" max="17" width="4.57421875" style="0" customWidth="1"/>
    <col min="19" max="19" width="12.7109375" style="0" customWidth="1"/>
  </cols>
  <sheetData>
    <row r="1" spans="1:21" ht="16.5" thickBot="1">
      <c r="A1" s="512" t="s">
        <v>19</v>
      </c>
      <c r="B1" s="134"/>
      <c r="C1" s="134"/>
      <c r="D1" s="106" t="s">
        <v>17</v>
      </c>
      <c r="G1" s="24" t="s">
        <v>20</v>
      </c>
      <c r="Q1" s="378" t="s">
        <v>166</v>
      </c>
      <c r="R1" s="378"/>
      <c r="S1" s="496">
        <f>'County One Time Input-GROWTH'!D3</f>
        <v>0</v>
      </c>
      <c r="T1" s="182"/>
      <c r="U1" s="182"/>
    </row>
    <row r="2" spans="1:18" ht="15.75" thickBot="1">
      <c r="A2" s="134"/>
      <c r="B2" s="134"/>
      <c r="C2" s="134"/>
      <c r="P2" s="450"/>
      <c r="R2" s="457">
        <f>'County One Time Input-GROWTH'!C6</f>
        <v>0.65</v>
      </c>
    </row>
    <row r="3" spans="1:19" s="29" customFormat="1" ht="30.75" thickBot="1">
      <c r="A3" s="249" t="s">
        <v>21</v>
      </c>
      <c r="B3" s="250" t="s">
        <v>42</v>
      </c>
      <c r="C3" s="250" t="s">
        <v>22</v>
      </c>
      <c r="D3" s="251" t="str">
        <f>CONCATENATE("RECEIPTS THROUGH"," ",D1)</f>
        <v>RECEIPTS THROUGH JULY</v>
      </c>
      <c r="E3" s="252" t="s">
        <v>7</v>
      </c>
      <c r="F3" s="252" t="s">
        <v>8</v>
      </c>
      <c r="G3" s="252" t="s">
        <v>9</v>
      </c>
      <c r="H3" s="252" t="s">
        <v>10</v>
      </c>
      <c r="I3" s="252" t="s">
        <v>11</v>
      </c>
      <c r="J3" s="252" t="s">
        <v>12</v>
      </c>
      <c r="K3" s="252" t="s">
        <v>13</v>
      </c>
      <c r="L3" s="252" t="s">
        <v>14</v>
      </c>
      <c r="M3" s="252" t="s">
        <v>15</v>
      </c>
      <c r="N3" s="252" t="s">
        <v>16</v>
      </c>
      <c r="O3" s="252" t="s">
        <v>17</v>
      </c>
      <c r="P3" s="253" t="s">
        <v>18</v>
      </c>
      <c r="R3" s="441" t="s">
        <v>184</v>
      </c>
      <c r="S3" s="441" t="s">
        <v>182</v>
      </c>
    </row>
    <row r="4" spans="1:19" ht="5.25" customHeight="1" thickBot="1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410"/>
      <c r="S4" s="410"/>
    </row>
    <row r="5" spans="1:19" ht="15">
      <c r="A5" s="513" t="str">
        <f>'County One Time Input-BASE'!A11</f>
        <v>PROTECTIVE SERVICES</v>
      </c>
      <c r="B5" s="534">
        <f>'County One Time Input-BASE'!C11</f>
        <v>0.6297362662674191</v>
      </c>
      <c r="C5" s="535">
        <f>'County One Time Input-BASE'!B11</f>
        <v>1640400000</v>
      </c>
      <c r="D5" s="35">
        <f>SUM(E5:P5)+S5</f>
        <v>1640400000</v>
      </c>
      <c r="E5" s="267">
        <v>125440356.11</v>
      </c>
      <c r="F5" s="267">
        <v>132620847.09</v>
      </c>
      <c r="G5" s="267">
        <v>168221921.6</v>
      </c>
      <c r="H5" s="267">
        <v>127829039.01</v>
      </c>
      <c r="I5" s="267">
        <v>125656777.58</v>
      </c>
      <c r="J5" s="267">
        <v>215473280</v>
      </c>
      <c r="K5" s="267">
        <v>124081091.4</v>
      </c>
      <c r="L5" s="267">
        <v>108481915.58</v>
      </c>
      <c r="M5" s="267">
        <v>181301474.29</v>
      </c>
      <c r="N5" s="267">
        <v>136772325.92</v>
      </c>
      <c r="O5" s="267">
        <v>194520971.42</v>
      </c>
      <c r="P5" s="451"/>
      <c r="R5" s="459">
        <f>'County One Time Input-GROWTH'!C10+'County One Time Input-GROWTH'!C11</f>
        <v>0.8203</v>
      </c>
      <c r="S5" s="443">
        <f>S$1*R$2*R5</f>
        <v>0</v>
      </c>
    </row>
    <row r="6" spans="1:19" ht="15">
      <c r="A6" s="513" t="str">
        <f>'County One Time Input-BASE'!A12</f>
        <v>BEHAVIORAL HEALTH</v>
      </c>
      <c r="B6" s="534">
        <f>'County One Time Input-BASE'!C12</f>
        <v>0.36830434949518215</v>
      </c>
      <c r="C6" s="535">
        <f>'County One Time Input-BASE'!B12</f>
        <v>959396000</v>
      </c>
      <c r="D6" s="36">
        <f>SUM(E6:P6)+S6</f>
        <v>959396000</v>
      </c>
      <c r="E6" s="268">
        <v>73329459.17</v>
      </c>
      <c r="F6" s="268">
        <v>77551351.07</v>
      </c>
      <c r="G6" s="268">
        <v>98483608.79</v>
      </c>
      <c r="H6" s="268">
        <v>74733925.95</v>
      </c>
      <c r="I6" s="268">
        <v>73456707.86</v>
      </c>
      <c r="J6" s="268">
        <v>126265849.24</v>
      </c>
      <c r="K6" s="268">
        <v>72530256.35</v>
      </c>
      <c r="L6" s="268">
        <v>63358455.42</v>
      </c>
      <c r="M6" s="268">
        <v>106173954.43</v>
      </c>
      <c r="N6" s="268">
        <v>79992283.71</v>
      </c>
      <c r="O6" s="268">
        <v>113520148.01</v>
      </c>
      <c r="P6" s="452"/>
      <c r="R6" s="459">
        <f>'County One Time Input-GROWTH'!C12</f>
        <v>0.1297</v>
      </c>
      <c r="S6" s="444">
        <f>S1*R2*R6</f>
        <v>0</v>
      </c>
    </row>
    <row r="7" spans="1:19" ht="15.75" thickBot="1">
      <c r="A7" s="513" t="str">
        <f>'County One Time Input-BASE'!A13</f>
        <v>WCRTS (FIXED AMT)</v>
      </c>
      <c r="B7" s="534">
        <f>'County One Time Input-BASE'!C13</f>
        <v>0.0019593842373987484</v>
      </c>
      <c r="C7" s="535">
        <f>'County One Time Input-BASE'!B13</f>
        <v>5104000</v>
      </c>
      <c r="D7" s="49">
        <f>SUM(E7:P7)+S7</f>
        <v>5104000</v>
      </c>
      <c r="E7" s="269">
        <v>425333.33</v>
      </c>
      <c r="F7" s="269">
        <v>425333.33</v>
      </c>
      <c r="G7" s="269">
        <v>425333.33</v>
      </c>
      <c r="H7" s="269">
        <v>425333.33</v>
      </c>
      <c r="I7" s="269">
        <v>425333.33</v>
      </c>
      <c r="J7" s="269">
        <v>425333.33</v>
      </c>
      <c r="K7" s="269">
        <v>425333.33</v>
      </c>
      <c r="L7" s="269">
        <v>425333.33</v>
      </c>
      <c r="M7" s="269">
        <v>425333.33</v>
      </c>
      <c r="N7" s="269">
        <v>425333.33</v>
      </c>
      <c r="O7" s="269">
        <v>850666.7</v>
      </c>
      <c r="P7" s="453"/>
      <c r="R7" s="460">
        <f>0</f>
        <v>0</v>
      </c>
      <c r="S7" s="445">
        <v>0</v>
      </c>
    </row>
    <row r="8" spans="1:19" ht="15.75" thickBot="1">
      <c r="A8" s="514" t="s">
        <v>24</v>
      </c>
      <c r="B8" s="536">
        <f>SUM(B5:B7)</f>
        <v>0.9999999999999999</v>
      </c>
      <c r="C8" s="537">
        <f>SUM(C5:C7)</f>
        <v>2604900000</v>
      </c>
      <c r="D8" s="103">
        <f>SUM(E8:P8)+S8</f>
        <v>2604900000</v>
      </c>
      <c r="E8" s="53">
        <f aca="true" t="shared" si="0" ref="E8:S8">SUM(E5:E7)</f>
        <v>199195148.61</v>
      </c>
      <c r="F8" s="53">
        <f t="shared" si="0"/>
        <v>210597531.49</v>
      </c>
      <c r="G8" s="53">
        <f t="shared" si="0"/>
        <v>267130863.72</v>
      </c>
      <c r="H8" s="53">
        <f t="shared" si="0"/>
        <v>202988298.29000002</v>
      </c>
      <c r="I8" s="53">
        <f t="shared" si="0"/>
        <v>199538818.77</v>
      </c>
      <c r="J8" s="53">
        <f t="shared" si="0"/>
        <v>342164462.57</v>
      </c>
      <c r="K8" s="53">
        <f t="shared" si="0"/>
        <v>197036681.08</v>
      </c>
      <c r="L8" s="53">
        <f t="shared" si="0"/>
        <v>172265704.33</v>
      </c>
      <c r="M8" s="53">
        <f t="shared" si="0"/>
        <v>287900762.05</v>
      </c>
      <c r="N8" s="53">
        <f t="shared" si="0"/>
        <v>217189942.96</v>
      </c>
      <c r="O8" s="53">
        <f t="shared" si="0"/>
        <v>308891786.13</v>
      </c>
      <c r="P8" s="511">
        <f t="shared" si="0"/>
        <v>0</v>
      </c>
      <c r="R8" s="458"/>
      <c r="S8" s="446">
        <f t="shared" si="0"/>
        <v>0</v>
      </c>
    </row>
    <row r="9" spans="1:19" ht="15">
      <c r="A9" s="515"/>
      <c r="B9" s="538"/>
      <c r="C9" s="539"/>
      <c r="D9" s="126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454"/>
      <c r="S9" s="447"/>
    </row>
    <row r="10" spans="1:19" ht="15">
      <c r="A10" s="515"/>
      <c r="B10" s="538"/>
      <c r="C10" s="539"/>
      <c r="D10" s="110"/>
      <c r="E10" s="111"/>
      <c r="F10" s="111"/>
      <c r="G10" s="24" t="s">
        <v>82</v>
      </c>
      <c r="H10" s="111"/>
      <c r="I10" s="111"/>
      <c r="J10" s="111"/>
      <c r="K10" s="111"/>
      <c r="L10" s="111"/>
      <c r="M10" s="111"/>
      <c r="N10" s="111"/>
      <c r="O10" s="111"/>
      <c r="P10" s="454"/>
      <c r="S10" s="447"/>
    </row>
    <row r="11" spans="1:19" ht="15.75" thickBot="1">
      <c r="A11" s="515"/>
      <c r="B11" s="538"/>
      <c r="C11" s="539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454"/>
      <c r="R11" s="457">
        <f>'County One Time Input-GROWTH'!C17</f>
        <v>0.35</v>
      </c>
      <c r="S11" s="447"/>
    </row>
    <row r="12" spans="1:19" s="29" customFormat="1" ht="30.75" thickBot="1">
      <c r="A12" s="249" t="s">
        <v>21</v>
      </c>
      <c r="B12" s="250" t="s">
        <v>42</v>
      </c>
      <c r="C12" s="248" t="s">
        <v>22</v>
      </c>
      <c r="D12" s="251" t="str">
        <f>CONCATENATE("RECEIPTS THROUGH"," ",D10)</f>
        <v>RECEIPTS THROUGH </v>
      </c>
      <c r="E12" s="252" t="s">
        <v>7</v>
      </c>
      <c r="F12" s="252" t="s">
        <v>8</v>
      </c>
      <c r="G12" s="252" t="s">
        <v>9</v>
      </c>
      <c r="H12" s="252" t="s">
        <v>10</v>
      </c>
      <c r="I12" s="252" t="s">
        <v>11</v>
      </c>
      <c r="J12" s="252" t="s">
        <v>12</v>
      </c>
      <c r="K12" s="252" t="s">
        <v>13</v>
      </c>
      <c r="L12" s="252" t="s">
        <v>14</v>
      </c>
      <c r="M12" s="252" t="s">
        <v>15</v>
      </c>
      <c r="N12" s="252" t="s">
        <v>16</v>
      </c>
      <c r="O12" s="252" t="s">
        <v>17</v>
      </c>
      <c r="P12" s="455" t="s">
        <v>18</v>
      </c>
      <c r="R12" s="441" t="s">
        <v>184</v>
      </c>
      <c r="S12" s="441" t="s">
        <v>182</v>
      </c>
    </row>
    <row r="13" spans="1:19" ht="5.25" customHeight="1" thickBot="1">
      <c r="A13" s="120"/>
      <c r="B13" s="121"/>
      <c r="C13" s="129"/>
      <c r="D13" s="12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456"/>
      <c r="R13" s="463"/>
      <c r="S13" s="448"/>
    </row>
    <row r="14" spans="1:19" ht="15">
      <c r="A14" s="516" t="str">
        <f>'County One Time Input-BASE'!A27</f>
        <v>TRIAL COURT SECURITY</v>
      </c>
      <c r="B14" s="534">
        <f>'County One Time Input-BASE'!C27</f>
        <v>0.3417207429032038</v>
      </c>
      <c r="C14" s="540">
        <f>'County One Time Input-BASE'!B27</f>
        <v>496429000</v>
      </c>
      <c r="D14" s="35">
        <f aca="true" t="shared" si="1" ref="D14:D20">SUM(E14:P14)+S14</f>
        <v>496429000.00000006</v>
      </c>
      <c r="E14" s="267">
        <v>37961700.9</v>
      </c>
      <c r="F14" s="267">
        <v>40134714.91</v>
      </c>
      <c r="G14" s="267">
        <v>50908578.95</v>
      </c>
      <c r="H14" s="267">
        <v>38684582.03</v>
      </c>
      <c r="I14" s="267">
        <v>38027195.99</v>
      </c>
      <c r="J14" s="267">
        <v>65208139.24</v>
      </c>
      <c r="K14" s="267">
        <v>37550350.02</v>
      </c>
      <c r="L14" s="267">
        <v>32829610.51</v>
      </c>
      <c r="M14" s="267">
        <v>54866811.23</v>
      </c>
      <c r="N14" s="267">
        <v>41391066.55</v>
      </c>
      <c r="O14" s="267">
        <v>58866249.67</v>
      </c>
      <c r="P14" s="451"/>
      <c r="R14" s="459">
        <f>'County One Time Input-GROWTH'!C21</f>
        <v>0.1</v>
      </c>
      <c r="S14" s="443">
        <f>S$1*R$11*R14</f>
        <v>0</v>
      </c>
    </row>
    <row r="15" spans="1:19" ht="15">
      <c r="A15" s="516" t="str">
        <f>'County One Time Input-BASE'!A28</f>
        <v>COMMUNITY CORRECTIONS</v>
      </c>
      <c r="B15" s="534">
        <f>'County One Time Input-BASE'!C28</f>
        <v>0.580216736316997</v>
      </c>
      <c r="C15" s="540">
        <f>'County One Time Input-BASE'!B28</f>
        <v>842900000</v>
      </c>
      <c r="D15" s="36">
        <f t="shared" si="1"/>
        <v>842899999.9999999</v>
      </c>
      <c r="E15" s="268">
        <v>64456162.22</v>
      </c>
      <c r="F15" s="268">
        <v>68145779.38</v>
      </c>
      <c r="G15" s="268">
        <v>86439004.2</v>
      </c>
      <c r="H15" s="267">
        <v>65683560.95</v>
      </c>
      <c r="I15" s="268">
        <v>64567368.04</v>
      </c>
      <c r="J15" s="268">
        <v>110718600.63</v>
      </c>
      <c r="K15" s="268">
        <v>63757718.84</v>
      </c>
      <c r="L15" s="268">
        <v>55742252.06</v>
      </c>
      <c r="M15" s="268">
        <v>93159790.04</v>
      </c>
      <c r="N15" s="268">
        <v>70278971.62</v>
      </c>
      <c r="O15" s="268">
        <v>99950792.02</v>
      </c>
      <c r="P15" s="452"/>
      <c r="R15" s="459">
        <f>'County One Time Input-GROWTH'!C22</f>
        <v>0.75</v>
      </c>
      <c r="S15" s="443">
        <f>S$1*R$11*R15</f>
        <v>0</v>
      </c>
    </row>
    <row r="16" spans="1:19" ht="15">
      <c r="A16" s="516" t="str">
        <f>'County One Time Input-BASE'!A29</f>
        <v>DA &amp; PUBLIC DEFENDER</v>
      </c>
      <c r="B16" s="534">
        <f>'County One Time Input-BASE'!C29</f>
        <v>0.010050022956730522</v>
      </c>
      <c r="C16" s="540">
        <f>'County One Time Input-BASE'!B29</f>
        <v>14600000</v>
      </c>
      <c r="D16" s="36">
        <f t="shared" si="1"/>
        <v>14600000</v>
      </c>
      <c r="E16" s="269">
        <v>1116452</v>
      </c>
      <c r="F16" s="269">
        <v>1180360.25</v>
      </c>
      <c r="G16" s="269">
        <v>1497219.13</v>
      </c>
      <c r="H16" s="267">
        <v>1137711.9</v>
      </c>
      <c r="I16" s="269">
        <v>1118378.21</v>
      </c>
      <c r="J16" s="269">
        <v>1917768.59</v>
      </c>
      <c r="K16" s="269">
        <v>1104354.19</v>
      </c>
      <c r="L16" s="269">
        <v>965517.44</v>
      </c>
      <c r="M16" s="269">
        <v>1613630.58</v>
      </c>
      <c r="N16" s="269">
        <v>1217309.5</v>
      </c>
      <c r="O16" s="269">
        <v>1731298.21</v>
      </c>
      <c r="P16" s="453"/>
      <c r="R16" s="459">
        <f>'County One Time Input-GROWTH'!C23</f>
        <v>0.05</v>
      </c>
      <c r="S16" s="443">
        <f>S$1*R$11*R16</f>
        <v>0</v>
      </c>
    </row>
    <row r="17" spans="1:19" ht="15">
      <c r="A17" s="516" t="str">
        <f>'County One Time Input-BASE'!A30</f>
        <v>JUVENILE JUSTICE</v>
      </c>
      <c r="B17" s="534">
        <f>'County One Time Input-BASE'!C30</f>
        <v>0.06801249782306866</v>
      </c>
      <c r="C17" s="540">
        <f>'County One Time Input-BASE'!B30</f>
        <v>98804000</v>
      </c>
      <c r="D17" s="36">
        <f t="shared" si="1"/>
        <v>98600241.79</v>
      </c>
      <c r="E17" s="268">
        <v>7555436.16</v>
      </c>
      <c r="F17" s="268">
        <v>7987926.5</v>
      </c>
      <c r="G17" s="268">
        <v>10132225.62</v>
      </c>
      <c r="H17" s="268">
        <v>7699309.65</v>
      </c>
      <c r="I17" s="268">
        <v>7568471.51</v>
      </c>
      <c r="J17" s="268">
        <v>12978236.53</v>
      </c>
      <c r="K17" s="268">
        <v>7473565.88</v>
      </c>
      <c r="L17" s="268">
        <v>6534007.19</v>
      </c>
      <c r="M17" s="268">
        <v>10920024.13</v>
      </c>
      <c r="N17" s="268">
        <v>8237975.48</v>
      </c>
      <c r="O17" s="268">
        <v>11513063.14</v>
      </c>
      <c r="P17" s="270"/>
      <c r="R17" s="459">
        <f>'County One Time Input-GROWTH'!C24</f>
        <v>0.1</v>
      </c>
      <c r="S17" s="443">
        <f>S$1*R$11*R17</f>
        <v>0</v>
      </c>
    </row>
    <row r="18" spans="1:19" s="435" customFormat="1" ht="15" outlineLevel="1">
      <c r="A18" s="517" t="s">
        <v>158</v>
      </c>
      <c r="B18" s="431">
        <f>'County One Time Input-BASE'!C31</f>
        <v>0.94481</v>
      </c>
      <c r="C18" s="432">
        <f>C17*B18</f>
        <v>93351007.24000001</v>
      </c>
      <c r="D18" s="437">
        <f t="shared" si="1"/>
        <v>93158494.4456099</v>
      </c>
      <c r="E18" s="433">
        <f>E17*$B18</f>
        <v>7138451.6383296</v>
      </c>
      <c r="F18" s="433">
        <f aca="true" t="shared" si="2" ref="F18:S18">F17*$B18</f>
        <v>7547072.836465</v>
      </c>
      <c r="G18" s="433">
        <f t="shared" si="2"/>
        <v>9573028.0880322</v>
      </c>
      <c r="H18" s="433">
        <f t="shared" si="2"/>
        <v>7274384.7504165005</v>
      </c>
      <c r="I18" s="433">
        <f t="shared" si="2"/>
        <v>7150767.5673631</v>
      </c>
      <c r="J18" s="433">
        <f t="shared" si="2"/>
        <v>12261967.6559093</v>
      </c>
      <c r="K18" s="433">
        <f t="shared" si="2"/>
        <v>7061099.7790828</v>
      </c>
      <c r="L18" s="433">
        <f t="shared" si="2"/>
        <v>6173395.3331839</v>
      </c>
      <c r="M18" s="433">
        <f t="shared" si="2"/>
        <v>10317347.998265302</v>
      </c>
      <c r="N18" s="433">
        <f t="shared" si="2"/>
        <v>7783321.6132588005</v>
      </c>
      <c r="O18" s="433">
        <f t="shared" si="2"/>
        <v>10877657.185303401</v>
      </c>
      <c r="P18" s="434">
        <f t="shared" si="2"/>
        <v>0</v>
      </c>
      <c r="R18" s="464">
        <f>'County One Time Input-GROWTH'!C25</f>
        <v>0.94481</v>
      </c>
      <c r="S18" s="436">
        <f t="shared" si="2"/>
        <v>0</v>
      </c>
    </row>
    <row r="19" spans="1:19" s="435" customFormat="1" ht="15.75" outlineLevel="1" thickBot="1">
      <c r="A19" s="517" t="s">
        <v>159</v>
      </c>
      <c r="B19" s="431">
        <f>'County One Time Input-BASE'!C32</f>
        <v>0.05519</v>
      </c>
      <c r="C19" s="432">
        <f>C17*B19</f>
        <v>5452992.760000001</v>
      </c>
      <c r="D19" s="438">
        <f t="shared" si="1"/>
        <v>5441747.344390101</v>
      </c>
      <c r="E19" s="439">
        <f>E17*$B19</f>
        <v>416984.52167040005</v>
      </c>
      <c r="F19" s="439">
        <f aca="true" t="shared" si="3" ref="F19:P19">F17*$B19</f>
        <v>440853.663535</v>
      </c>
      <c r="G19" s="439">
        <f t="shared" si="3"/>
        <v>559197.5319678</v>
      </c>
      <c r="H19" s="439">
        <f t="shared" si="3"/>
        <v>424924.89958350005</v>
      </c>
      <c r="I19" s="439">
        <f t="shared" si="3"/>
        <v>417703.9426369</v>
      </c>
      <c r="J19" s="439">
        <f t="shared" si="3"/>
        <v>716268.8740907</v>
      </c>
      <c r="K19" s="439">
        <f t="shared" si="3"/>
        <v>412466.10091720003</v>
      </c>
      <c r="L19" s="439">
        <f t="shared" si="3"/>
        <v>360611.8568161</v>
      </c>
      <c r="M19" s="439">
        <f t="shared" si="3"/>
        <v>602676.1317347001</v>
      </c>
      <c r="N19" s="439">
        <f t="shared" si="3"/>
        <v>454653.86674120004</v>
      </c>
      <c r="O19" s="439">
        <f t="shared" si="3"/>
        <v>635405.9546966001</v>
      </c>
      <c r="P19" s="440">
        <f t="shared" si="3"/>
        <v>0</v>
      </c>
      <c r="R19" s="465">
        <f>'County One Time Input-GROWTH'!C26</f>
        <v>0.05519</v>
      </c>
      <c r="S19" s="449">
        <f>S17*$B19</f>
        <v>0</v>
      </c>
    </row>
    <row r="20" spans="1:19" ht="15.75" thickBot="1">
      <c r="A20" s="514" t="s">
        <v>91</v>
      </c>
      <c r="B20" s="536">
        <f>SUM(B14:B17)</f>
        <v>1</v>
      </c>
      <c r="C20" s="541">
        <f>SUM(C14:C17)</f>
        <v>1452733000</v>
      </c>
      <c r="D20" s="128">
        <f t="shared" si="1"/>
        <v>1452529241.7900002</v>
      </c>
      <c r="E20" s="53">
        <f aca="true" t="shared" si="4" ref="E20:P20">SUM(E14:E17)</f>
        <v>111089751.28</v>
      </c>
      <c r="F20" s="53">
        <f t="shared" si="4"/>
        <v>117448781.03999999</v>
      </c>
      <c r="G20" s="53">
        <f t="shared" si="4"/>
        <v>148977027.9</v>
      </c>
      <c r="H20" s="53">
        <f t="shared" si="4"/>
        <v>113205164.53000002</v>
      </c>
      <c r="I20" s="53">
        <f t="shared" si="4"/>
        <v>111281413.75</v>
      </c>
      <c r="J20" s="53">
        <f t="shared" si="4"/>
        <v>190822744.99</v>
      </c>
      <c r="K20" s="53">
        <f t="shared" si="4"/>
        <v>109885988.93</v>
      </c>
      <c r="L20" s="53">
        <f t="shared" si="4"/>
        <v>96071387.2</v>
      </c>
      <c r="M20" s="53">
        <f t="shared" si="4"/>
        <v>160560255.98000002</v>
      </c>
      <c r="N20" s="53">
        <f t="shared" si="4"/>
        <v>121125323.15</v>
      </c>
      <c r="O20" s="53">
        <f t="shared" si="4"/>
        <v>172061403.04000002</v>
      </c>
      <c r="P20" s="54">
        <f t="shared" si="4"/>
        <v>0</v>
      </c>
      <c r="R20" s="462"/>
      <c r="S20" s="461">
        <f>SUM(S14:S17)</f>
        <v>0</v>
      </c>
    </row>
    <row r="21" spans="1:19" ht="15.75" thickBot="1">
      <c r="A21" s="515"/>
      <c r="B21" s="538"/>
      <c r="C21" s="539"/>
      <c r="D21" s="132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S21" s="111"/>
    </row>
    <row r="22" spans="1:19" ht="15.75" thickBot="1">
      <c r="A22" s="381" t="s">
        <v>92</v>
      </c>
      <c r="B22" s="536"/>
      <c r="C22" s="542">
        <f aca="true" t="shared" si="5" ref="C22:P22">+C8+C20</f>
        <v>4057633000</v>
      </c>
      <c r="D22" s="128">
        <f t="shared" si="5"/>
        <v>4057429241.79</v>
      </c>
      <c r="E22" s="53">
        <f t="shared" si="5"/>
        <v>310284899.89</v>
      </c>
      <c r="F22" s="53">
        <f t="shared" si="5"/>
        <v>328046312.53</v>
      </c>
      <c r="G22" s="53">
        <f t="shared" si="5"/>
        <v>416107891.62</v>
      </c>
      <c r="H22" s="53">
        <f t="shared" si="5"/>
        <v>316193462.82000005</v>
      </c>
      <c r="I22" s="53">
        <f t="shared" si="5"/>
        <v>310820232.52</v>
      </c>
      <c r="J22" s="53">
        <f t="shared" si="5"/>
        <v>532987207.56</v>
      </c>
      <c r="K22" s="53">
        <f t="shared" si="5"/>
        <v>306922670.01</v>
      </c>
      <c r="L22" s="53">
        <f t="shared" si="5"/>
        <v>268337091.53000003</v>
      </c>
      <c r="M22" s="53">
        <f t="shared" si="5"/>
        <v>448461018.03000003</v>
      </c>
      <c r="N22" s="53">
        <f t="shared" si="5"/>
        <v>338315266.11</v>
      </c>
      <c r="O22" s="53">
        <f t="shared" si="5"/>
        <v>480953189.17</v>
      </c>
      <c r="P22" s="54">
        <f t="shared" si="5"/>
        <v>0</v>
      </c>
      <c r="S22" s="411">
        <f>+S8+S20</f>
        <v>0</v>
      </c>
    </row>
    <row r="23" spans="1:19" ht="15">
      <c r="A23" s="515"/>
      <c r="B23" s="538"/>
      <c r="C23" s="539"/>
      <c r="D23" s="132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S23" s="111"/>
    </row>
    <row r="24" spans="1:19" ht="15">
      <c r="A24" s="515"/>
      <c r="B24" s="538"/>
      <c r="C24" s="539"/>
      <c r="D24" s="132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S24" s="111"/>
    </row>
    <row r="25" spans="2:4" ht="15">
      <c r="B25" s="84"/>
      <c r="C25" s="84"/>
      <c r="D25" s="61" t="s">
        <v>46</v>
      </c>
    </row>
    <row r="26" spans="1:19" ht="15">
      <c r="A26" s="518" t="s">
        <v>25</v>
      </c>
      <c r="B26" s="518"/>
      <c r="C26" s="518"/>
      <c r="D26" s="37" t="s">
        <v>110</v>
      </c>
      <c r="E26" s="38">
        <f>'Statewide Forecast Model'!B31</f>
        <v>0.07334144711423515</v>
      </c>
      <c r="F26" s="38">
        <f>'Statewide Forecast Model'!B32</f>
        <v>0.07232865021526932</v>
      </c>
      <c r="G26" s="38">
        <f>'Statewide Forecast Model'!B33</f>
        <v>0.08702955771671084</v>
      </c>
      <c r="H26" s="38">
        <f>'Statewide Forecast Model'!B34</f>
        <v>0.07130072150344567</v>
      </c>
      <c r="I26" s="38">
        <f>'Statewide Forecast Model'!B35</f>
        <v>0.06993419299845241</v>
      </c>
      <c r="J26" s="38">
        <f>'Statewide Forecast Model'!B36</f>
        <v>0.10707747488759597</v>
      </c>
      <c r="K26" s="38">
        <f>'Statewide Forecast Model'!B37</f>
        <v>0.09422982037333755</v>
      </c>
      <c r="L26" s="38">
        <f>'Statewide Forecast Model'!B38</f>
        <v>0.07005544955883031</v>
      </c>
      <c r="M26" s="38">
        <f>'Statewide Forecast Model'!B39</f>
        <v>0.09535096418667911</v>
      </c>
      <c r="N26" s="38">
        <f>'Statewide Forecast Model'!B40</f>
        <v>0.08086568210915575</v>
      </c>
      <c r="O26" s="38">
        <f>'Statewide Forecast Model'!B41</f>
        <v>0.09566733082798996</v>
      </c>
      <c r="P26" s="38">
        <f>'Statewide Forecast Model'!B42</f>
        <v>0.08281870850829788</v>
      </c>
      <c r="S26" s="412"/>
    </row>
    <row r="27" spans="1:19" ht="15">
      <c r="A27" s="518" t="s">
        <v>26</v>
      </c>
      <c r="B27" s="518"/>
      <c r="C27" s="518"/>
      <c r="D27" s="37" t="s">
        <v>27</v>
      </c>
      <c r="E27" s="38">
        <f>+E26</f>
        <v>0.07334144711423515</v>
      </c>
      <c r="F27" s="38">
        <f aca="true" t="shared" si="6" ref="F27:O27">+E27+F26</f>
        <v>0.14567009732950448</v>
      </c>
      <c r="G27" s="38">
        <f t="shared" si="6"/>
        <v>0.23269965504621531</v>
      </c>
      <c r="H27" s="38">
        <f t="shared" si="6"/>
        <v>0.304000376549661</v>
      </c>
      <c r="I27" s="38">
        <f t="shared" si="6"/>
        <v>0.37393456954811344</v>
      </c>
      <c r="J27" s="38">
        <f t="shared" si="6"/>
        <v>0.48101204443570944</v>
      </c>
      <c r="K27" s="38">
        <f t="shared" si="6"/>
        <v>0.5752418648090469</v>
      </c>
      <c r="L27" s="38">
        <f t="shared" si="6"/>
        <v>0.6452973143678773</v>
      </c>
      <c r="M27" s="38">
        <f t="shared" si="6"/>
        <v>0.7406482785545564</v>
      </c>
      <c r="N27" s="38">
        <f t="shared" si="6"/>
        <v>0.8215139606637122</v>
      </c>
      <c r="O27" s="38">
        <f t="shared" si="6"/>
        <v>0.9171812914917021</v>
      </c>
      <c r="P27" s="38">
        <f>+O27+P26</f>
        <v>1</v>
      </c>
      <c r="S27" s="413"/>
    </row>
    <row r="28" spans="2:5" ht="15">
      <c r="B28" s="84"/>
      <c r="C28" s="84"/>
      <c r="E28" s="104"/>
    </row>
    <row r="29" spans="2:3" ht="15">
      <c r="B29" s="84"/>
      <c r="C29" s="60"/>
    </row>
    <row r="31" spans="1:4" ht="15">
      <c r="A31" s="84" t="s">
        <v>40</v>
      </c>
      <c r="B31" s="84"/>
      <c r="C31" s="543">
        <f>C5</f>
        <v>1640400000</v>
      </c>
      <c r="D31" s="39"/>
    </row>
    <row r="32" spans="2:3" ht="22.5" customHeight="1" thickBot="1">
      <c r="B32" s="84"/>
      <c r="C32" s="84"/>
    </row>
    <row r="33" spans="1:19" ht="45.75" thickBot="1">
      <c r="A33" s="519" t="s">
        <v>37</v>
      </c>
      <c r="B33" s="544" t="s">
        <v>38</v>
      </c>
      <c r="C33" s="544" t="s">
        <v>39</v>
      </c>
      <c r="D33" s="57" t="str">
        <f>D3</f>
        <v>RECEIPTS THROUGH JULY</v>
      </c>
      <c r="E33" s="27" t="s">
        <v>7</v>
      </c>
      <c r="F33" s="27" t="s">
        <v>8</v>
      </c>
      <c r="G33" s="27" t="s">
        <v>9</v>
      </c>
      <c r="H33" s="27" t="s">
        <v>10</v>
      </c>
      <c r="I33" s="27" t="s">
        <v>11</v>
      </c>
      <c r="J33" s="27" t="s">
        <v>12</v>
      </c>
      <c r="K33" s="27" t="s">
        <v>13</v>
      </c>
      <c r="L33" s="27" t="s">
        <v>14</v>
      </c>
      <c r="M33" s="27" t="s">
        <v>15</v>
      </c>
      <c r="N33" s="27" t="s">
        <v>16</v>
      </c>
      <c r="O33" s="27" t="s">
        <v>17</v>
      </c>
      <c r="P33" s="28" t="s">
        <v>18</v>
      </c>
      <c r="S33" s="414" t="s">
        <v>181</v>
      </c>
    </row>
    <row r="34" spans="1:19" ht="6" customHeight="1" thickBot="1">
      <c r="A34" s="520"/>
      <c r="B34" s="545"/>
      <c r="C34" s="545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S34" s="415"/>
    </row>
    <row r="35" spans="1:19" ht="15">
      <c r="A35" s="521" t="s">
        <v>32</v>
      </c>
      <c r="B35" s="546">
        <f>'County One Time Input-BASE'!B43</f>
        <v>0.2297286671</v>
      </c>
      <c r="C35" s="547">
        <f aca="true" t="shared" si="7" ref="C35:C40">$C$5*$B35</f>
        <v>376846905.51084</v>
      </c>
      <c r="D35" s="273">
        <f>SUM(E35:P35)+S35</f>
        <v>376846905.52</v>
      </c>
      <c r="E35" s="274">
        <f aca="true" t="shared" si="8" ref="E35:P40">ROUND(E$5*$B35,2)</f>
        <v>28817245.81</v>
      </c>
      <c r="F35" s="274">
        <f t="shared" si="8"/>
        <v>30466810.43</v>
      </c>
      <c r="G35" s="274">
        <f t="shared" si="8"/>
        <v>38645397.83</v>
      </c>
      <c r="H35" s="274">
        <f t="shared" si="8"/>
        <v>29365994.75</v>
      </c>
      <c r="I35" s="274">
        <f t="shared" si="8"/>
        <v>28866964.03</v>
      </c>
      <c r="J35" s="274">
        <f t="shared" si="8"/>
        <v>49500389.41</v>
      </c>
      <c r="K35" s="274">
        <f t="shared" si="8"/>
        <v>28504983.74</v>
      </c>
      <c r="L35" s="274">
        <f t="shared" si="8"/>
        <v>24921405.87</v>
      </c>
      <c r="M35" s="274">
        <f t="shared" si="8"/>
        <v>41650146.03</v>
      </c>
      <c r="N35" s="274">
        <f t="shared" si="8"/>
        <v>31420524.13</v>
      </c>
      <c r="O35" s="274">
        <f t="shared" si="8"/>
        <v>44687043.49</v>
      </c>
      <c r="P35" s="275">
        <f t="shared" si="8"/>
        <v>0</v>
      </c>
      <c r="S35" s="416">
        <f>ROUND(S$1*R$2*'County One Time Input-GROWTH'!C$10*'County One Time Input-GROWTH'!B37,2)</f>
        <v>0</v>
      </c>
    </row>
    <row r="36" spans="1:19" ht="15">
      <c r="A36" s="522" t="s">
        <v>33</v>
      </c>
      <c r="B36" s="548">
        <f>'County One Time Input-BASE'!B44</f>
        <v>0.2358654156</v>
      </c>
      <c r="C36" s="549">
        <f t="shared" si="7"/>
        <v>386913627.75023997</v>
      </c>
      <c r="D36" s="278">
        <f aca="true" t="shared" si="9" ref="D36:D64">SUM(E36:P36)+S36</f>
        <v>386913627.76</v>
      </c>
      <c r="E36" s="279">
        <f t="shared" si="8"/>
        <v>29587041.73</v>
      </c>
      <c r="F36" s="279">
        <f t="shared" si="8"/>
        <v>31280671.22</v>
      </c>
      <c r="G36" s="279">
        <f t="shared" si="8"/>
        <v>39677733.45</v>
      </c>
      <c r="H36" s="279">
        <f t="shared" si="8"/>
        <v>30150449.41</v>
      </c>
      <c r="I36" s="279">
        <f t="shared" si="8"/>
        <v>29638088.07</v>
      </c>
      <c r="J36" s="279">
        <f t="shared" si="8"/>
        <v>50822694.74</v>
      </c>
      <c r="K36" s="279">
        <f t="shared" si="8"/>
        <v>29266438.19</v>
      </c>
      <c r="L36" s="279">
        <f t="shared" si="8"/>
        <v>25587132.1</v>
      </c>
      <c r="M36" s="279">
        <f t="shared" si="8"/>
        <v>42762747.58</v>
      </c>
      <c r="N36" s="279">
        <f t="shared" si="8"/>
        <v>32259861.5</v>
      </c>
      <c r="O36" s="279">
        <f t="shared" si="8"/>
        <v>45880769.77</v>
      </c>
      <c r="P36" s="280">
        <f t="shared" si="8"/>
        <v>0</v>
      </c>
      <c r="S36" s="417">
        <f>ROUND(S$1*R$2*'County One Time Input-GROWTH'!C$10*'County One Time Input-GROWTH'!B38,2)</f>
        <v>0</v>
      </c>
    </row>
    <row r="37" spans="1:19" ht="15">
      <c r="A37" s="522" t="s">
        <v>34</v>
      </c>
      <c r="B37" s="548">
        <f>'County One Time Input-BASE'!B45</f>
        <v>0.0343200246</v>
      </c>
      <c r="C37" s="549">
        <f t="shared" si="7"/>
        <v>56298568.35384</v>
      </c>
      <c r="D37" s="278">
        <f t="shared" si="9"/>
        <v>56298568.349999994</v>
      </c>
      <c r="E37" s="279">
        <f t="shared" si="8"/>
        <v>4305116.11</v>
      </c>
      <c r="F37" s="279">
        <f t="shared" si="8"/>
        <v>4551550.73</v>
      </c>
      <c r="G37" s="279">
        <f t="shared" si="8"/>
        <v>5773380.49</v>
      </c>
      <c r="H37" s="279">
        <f t="shared" si="8"/>
        <v>4387095.76</v>
      </c>
      <c r="I37" s="279">
        <f t="shared" si="8"/>
        <v>4312543.7</v>
      </c>
      <c r="J37" s="279">
        <f t="shared" si="8"/>
        <v>7395048.27</v>
      </c>
      <c r="K37" s="279">
        <f t="shared" si="8"/>
        <v>4258466.11</v>
      </c>
      <c r="L37" s="279">
        <f t="shared" si="8"/>
        <v>3723102.01</v>
      </c>
      <c r="M37" s="279">
        <f t="shared" si="8"/>
        <v>6222271.06</v>
      </c>
      <c r="N37" s="279">
        <f t="shared" si="8"/>
        <v>4694029.59</v>
      </c>
      <c r="O37" s="279">
        <f t="shared" si="8"/>
        <v>6675964.52</v>
      </c>
      <c r="P37" s="280">
        <f t="shared" si="8"/>
        <v>0</v>
      </c>
      <c r="S37" s="417">
        <f>ROUND(S$1*R$2*'County One Time Input-GROWTH'!C$10*'County One Time Input-GROWTH'!B39,2)</f>
        <v>0</v>
      </c>
    </row>
    <row r="38" spans="1:19" ht="15">
      <c r="A38" s="522" t="s">
        <v>35</v>
      </c>
      <c r="B38" s="548">
        <f>'County One Time Input-BASE'!B46</f>
        <v>0.0081518797</v>
      </c>
      <c r="C38" s="549">
        <f t="shared" si="7"/>
        <v>13372343.45988</v>
      </c>
      <c r="D38" s="278">
        <f t="shared" si="9"/>
        <v>13372343.47</v>
      </c>
      <c r="E38" s="279">
        <f t="shared" si="8"/>
        <v>1022574.69</v>
      </c>
      <c r="F38" s="279">
        <f t="shared" si="8"/>
        <v>1081109.19</v>
      </c>
      <c r="G38" s="279">
        <f t="shared" si="8"/>
        <v>1371324.87</v>
      </c>
      <c r="H38" s="279">
        <f t="shared" si="8"/>
        <v>1042046.95</v>
      </c>
      <c r="I38" s="279">
        <f t="shared" si="8"/>
        <v>1024338.93</v>
      </c>
      <c r="J38" s="279">
        <f t="shared" si="8"/>
        <v>1756512.26</v>
      </c>
      <c r="K38" s="279">
        <f t="shared" si="8"/>
        <v>1011494.13</v>
      </c>
      <c r="L38" s="279">
        <f t="shared" si="8"/>
        <v>884331.53</v>
      </c>
      <c r="M38" s="279">
        <f t="shared" si="8"/>
        <v>1477947.81</v>
      </c>
      <c r="N38" s="279">
        <f t="shared" si="8"/>
        <v>1114951.55</v>
      </c>
      <c r="O38" s="279">
        <f t="shared" si="8"/>
        <v>1585711.56</v>
      </c>
      <c r="P38" s="280">
        <f t="shared" si="8"/>
        <v>0</v>
      </c>
      <c r="S38" s="417">
        <f>ROUND(S$1*R$2*'County One Time Input-GROWTH'!C$10*'County One Time Input-GROWTH'!B40,2)</f>
        <v>0</v>
      </c>
    </row>
    <row r="39" spans="1:19" ht="15">
      <c r="A39" s="522" t="s">
        <v>30</v>
      </c>
      <c r="B39" s="548">
        <f>'County One Time Input-BASE'!B47</f>
        <v>0.0332057494</v>
      </c>
      <c r="C39" s="549">
        <f t="shared" si="7"/>
        <v>54470711.315759994</v>
      </c>
      <c r="D39" s="278">
        <f t="shared" si="9"/>
        <v>54470711.32</v>
      </c>
      <c r="E39" s="279">
        <f t="shared" si="8"/>
        <v>4165341.03</v>
      </c>
      <c r="F39" s="279">
        <f t="shared" si="8"/>
        <v>4403774.61</v>
      </c>
      <c r="G39" s="279">
        <f t="shared" si="8"/>
        <v>5585934.97</v>
      </c>
      <c r="H39" s="279">
        <f t="shared" si="8"/>
        <v>4244659.04</v>
      </c>
      <c r="I39" s="279">
        <f t="shared" si="8"/>
        <v>4172527.47</v>
      </c>
      <c r="J39" s="279">
        <f t="shared" si="8"/>
        <v>7154951.74</v>
      </c>
      <c r="K39" s="279">
        <f t="shared" si="8"/>
        <v>4120205.63</v>
      </c>
      <c r="L39" s="279">
        <f t="shared" si="8"/>
        <v>3602223.3</v>
      </c>
      <c r="M39" s="279">
        <f t="shared" si="8"/>
        <v>6020251.32</v>
      </c>
      <c r="N39" s="279">
        <f t="shared" si="8"/>
        <v>4541627.58</v>
      </c>
      <c r="O39" s="279">
        <f t="shared" si="8"/>
        <v>6459214.63</v>
      </c>
      <c r="P39" s="280">
        <f t="shared" si="8"/>
        <v>0</v>
      </c>
      <c r="S39" s="417">
        <f>ROUND(S$1*R$2*'County One Time Input-GROWTH'!C$10*'County One Time Input-GROWTH'!B41,2)</f>
        <v>0</v>
      </c>
    </row>
    <row r="40" spans="1:19" ht="15">
      <c r="A40" s="522" t="s">
        <v>36</v>
      </c>
      <c r="B40" s="548">
        <f>'County One Time Input-BASE'!B48</f>
        <v>0.4044190422</v>
      </c>
      <c r="C40" s="549">
        <f t="shared" si="7"/>
        <v>663408996.82488</v>
      </c>
      <c r="D40" s="278">
        <f t="shared" si="9"/>
        <v>663408996.8199999</v>
      </c>
      <c r="E40" s="279">
        <f t="shared" si="8"/>
        <v>50730468.67</v>
      </c>
      <c r="F40" s="279">
        <f t="shared" si="8"/>
        <v>53634395.96</v>
      </c>
      <c r="G40" s="279">
        <f t="shared" si="8"/>
        <v>68032148.41</v>
      </c>
      <c r="H40" s="279">
        <f t="shared" si="8"/>
        <v>51696497.52</v>
      </c>
      <c r="I40" s="279">
        <f t="shared" si="8"/>
        <v>50817993.63</v>
      </c>
      <c r="J40" s="279">
        <f t="shared" si="8"/>
        <v>87141497.52</v>
      </c>
      <c r="K40" s="279">
        <f t="shared" si="8"/>
        <v>50180756.14</v>
      </c>
      <c r="L40" s="279">
        <f t="shared" si="8"/>
        <v>43872152.39</v>
      </c>
      <c r="M40" s="279">
        <f t="shared" si="8"/>
        <v>73321768.58</v>
      </c>
      <c r="N40" s="279">
        <f t="shared" si="8"/>
        <v>55313333.05</v>
      </c>
      <c r="O40" s="279">
        <f t="shared" si="8"/>
        <v>78667984.95</v>
      </c>
      <c r="P40" s="280">
        <f t="shared" si="8"/>
        <v>0</v>
      </c>
      <c r="S40" s="417">
        <f>ROUND(S$1*R$2*'County One Time Input-GROWTH'!C$10*'County One Time Input-GROWTH'!B42,2)+(S1*R2*'County One Time Input-GROWTH'!C11)</f>
        <v>0</v>
      </c>
    </row>
    <row r="41" spans="1:19" ht="15" hidden="1" outlineLevel="1">
      <c r="A41" s="523"/>
      <c r="B41" s="550" t="s">
        <v>73</v>
      </c>
      <c r="C41" s="551"/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6"/>
      <c r="S41" s="418"/>
    </row>
    <row r="42" spans="1:19" ht="15" hidden="1" outlineLevel="1">
      <c r="A42" s="524" t="s">
        <v>48</v>
      </c>
      <c r="B42" s="552">
        <v>0.0015778427</v>
      </c>
      <c r="C42" s="551">
        <f>$C$40*B42</f>
        <v>1046755.04275446</v>
      </c>
      <c r="D42" s="284">
        <f t="shared" si="9"/>
        <v>1046755.04274676</v>
      </c>
      <c r="E42" s="285">
        <f>+E$40*$B42</f>
        <v>80044.6996585382</v>
      </c>
      <c r="F42" s="285">
        <f aca="true" t="shared" si="10" ref="F42:S54">+F$40*$B42</f>
        <v>84626.6401343955</v>
      </c>
      <c r="G42" s="285">
        <f t="shared" si="10"/>
        <v>107344.02873403509</v>
      </c>
      <c r="H42" s="285">
        <f t="shared" si="10"/>
        <v>81568.94122750011</v>
      </c>
      <c r="I42" s="285">
        <f t="shared" si="10"/>
        <v>80182.800277742</v>
      </c>
      <c r="J42" s="285">
        <f t="shared" si="10"/>
        <v>137495.5757290001</v>
      </c>
      <c r="K42" s="285">
        <f t="shared" si="10"/>
        <v>79177.33975597918</v>
      </c>
      <c r="L42" s="285">
        <f t="shared" si="10"/>
        <v>69223.35538184905</v>
      </c>
      <c r="M42" s="285">
        <f t="shared" si="10"/>
        <v>115690.21730504236</v>
      </c>
      <c r="N42" s="285">
        <f t="shared" si="10"/>
        <v>87275.73876561123</v>
      </c>
      <c r="O42" s="285">
        <f t="shared" si="10"/>
        <v>124125.70577706736</v>
      </c>
      <c r="P42" s="286">
        <f t="shared" si="10"/>
        <v>0</v>
      </c>
      <c r="S42" s="418">
        <f t="shared" si="10"/>
        <v>0</v>
      </c>
    </row>
    <row r="43" spans="1:19" ht="15" hidden="1" outlineLevel="1">
      <c r="A43" s="524" t="s">
        <v>49</v>
      </c>
      <c r="B43" s="552">
        <v>0.0083709851</v>
      </c>
      <c r="C43" s="551">
        <f aca="true" t="shared" si="11" ref="C43:C54">$C$40*B43</f>
        <v>5553386.827627018</v>
      </c>
      <c r="D43" s="284">
        <f t="shared" si="9"/>
        <v>5553386.827586167</v>
      </c>
      <c r="E43" s="285">
        <f aca="true" t="shared" si="12" ref="E43:E54">+E$40*$B43</f>
        <v>424663.9973525869</v>
      </c>
      <c r="F43" s="285">
        <f t="shared" si="10"/>
        <v>448972.72942866024</v>
      </c>
      <c r="G43" s="285">
        <f t="shared" si="10"/>
        <v>569496.1006610987</v>
      </c>
      <c r="H43" s="285">
        <f t="shared" si="10"/>
        <v>432750.610462107</v>
      </c>
      <c r="I43" s="285">
        <f t="shared" si="10"/>
        <v>425396.667488625</v>
      </c>
      <c r="J43" s="285">
        <f t="shared" si="10"/>
        <v>729460.177331607</v>
      </c>
      <c r="K43" s="285">
        <f t="shared" si="10"/>
        <v>420062.36195467354</v>
      </c>
      <c r="L43" s="285">
        <f t="shared" si="10"/>
        <v>367253.1339616194</v>
      </c>
      <c r="M43" s="285">
        <f t="shared" si="10"/>
        <v>613775.4322888282</v>
      </c>
      <c r="N43" s="285">
        <f t="shared" si="10"/>
        <v>463027.08679288754</v>
      </c>
      <c r="O43" s="285">
        <f t="shared" si="10"/>
        <v>658528.5298634743</v>
      </c>
      <c r="P43" s="286">
        <f t="shared" si="10"/>
        <v>0</v>
      </c>
      <c r="S43" s="418">
        <f t="shared" si="10"/>
        <v>0</v>
      </c>
    </row>
    <row r="44" spans="1:19" ht="15" hidden="1" outlineLevel="1">
      <c r="A44" s="524" t="s">
        <v>50</v>
      </c>
      <c r="B44" s="552">
        <v>0.0093834527</v>
      </c>
      <c r="C44" s="551">
        <f t="shared" si="11"/>
        <v>6225066.942460711</v>
      </c>
      <c r="D44" s="284">
        <f t="shared" si="9"/>
        <v>6225066.942414919</v>
      </c>
      <c r="E44" s="285">
        <f t="shared" si="12"/>
        <v>476026.95321377687</v>
      </c>
      <c r="F44" s="285">
        <f t="shared" si="10"/>
        <v>503275.8175837311</v>
      </c>
      <c r="G44" s="285">
        <f t="shared" si="10"/>
        <v>638376.4466846151</v>
      </c>
      <c r="H44" s="285">
        <f t="shared" si="10"/>
        <v>485091.6392345873</v>
      </c>
      <c r="I44" s="285">
        <f t="shared" si="10"/>
        <v>476848.2395360063</v>
      </c>
      <c r="J44" s="285">
        <f t="shared" si="10"/>
        <v>817688.1201860872</v>
      </c>
      <c r="K44" s="285">
        <f t="shared" si="10"/>
        <v>470868.75168992457</v>
      </c>
      <c r="L44" s="285">
        <f t="shared" si="10"/>
        <v>411672.26679875696</v>
      </c>
      <c r="M44" s="285">
        <f t="shared" si="10"/>
        <v>688011.3473507761</v>
      </c>
      <c r="N44" s="285">
        <f t="shared" si="10"/>
        <v>519030.04435402167</v>
      </c>
      <c r="O44" s="285">
        <f t="shared" si="10"/>
        <v>738177.3157826369</v>
      </c>
      <c r="P44" s="286">
        <f t="shared" si="10"/>
        <v>0</v>
      </c>
      <c r="S44" s="418">
        <f t="shared" si="10"/>
        <v>0</v>
      </c>
    </row>
    <row r="45" spans="1:19" ht="15" hidden="1" outlineLevel="1">
      <c r="A45" s="524" t="s">
        <v>51</v>
      </c>
      <c r="B45" s="552">
        <v>0.0146007374</v>
      </c>
      <c r="C45" s="551">
        <f t="shared" si="11"/>
        <v>9686260.551437506</v>
      </c>
      <c r="D45" s="284">
        <f t="shared" si="9"/>
        <v>9686260.551366255</v>
      </c>
      <c r="E45" s="285">
        <f t="shared" si="12"/>
        <v>740702.2512295973</v>
      </c>
      <c r="F45" s="285">
        <f t="shared" si="10"/>
        <v>783101.7310195809</v>
      </c>
      <c r="G45" s="285">
        <f t="shared" si="10"/>
        <v>993319.5336922375</v>
      </c>
      <c r="H45" s="285">
        <f t="shared" si="10"/>
        <v>754806.9847892713</v>
      </c>
      <c r="I45" s="285">
        <f t="shared" si="10"/>
        <v>741980.1801865028</v>
      </c>
      <c r="J45" s="285">
        <f t="shared" si="10"/>
        <v>1272330.1219322712</v>
      </c>
      <c r="K45" s="285">
        <f t="shared" si="10"/>
        <v>732676.0429335776</v>
      </c>
      <c r="L45" s="285">
        <f t="shared" si="10"/>
        <v>640565.7762191724</v>
      </c>
      <c r="M45" s="285">
        <f t="shared" si="10"/>
        <v>1070551.8887401507</v>
      </c>
      <c r="N45" s="285">
        <f t="shared" si="10"/>
        <v>807615.450581791</v>
      </c>
      <c r="O45" s="285">
        <f t="shared" si="10"/>
        <v>1148610.5900421022</v>
      </c>
      <c r="P45" s="286">
        <f t="shared" si="10"/>
        <v>0</v>
      </c>
      <c r="S45" s="418">
        <f t="shared" si="10"/>
        <v>0</v>
      </c>
    </row>
    <row r="46" spans="1:19" ht="15" hidden="1" outlineLevel="1">
      <c r="A46" s="524" t="s">
        <v>52</v>
      </c>
      <c r="B46" s="552">
        <v>0.0011031938</v>
      </c>
      <c r="C46" s="551">
        <f t="shared" si="11"/>
        <v>731868.6921614273</v>
      </c>
      <c r="D46" s="284">
        <f t="shared" si="9"/>
        <v>731868.6921560437</v>
      </c>
      <c r="E46" s="285">
        <f t="shared" si="12"/>
        <v>55965.538507838246</v>
      </c>
      <c r="F46" s="285">
        <f t="shared" si="10"/>
        <v>59169.13308981705</v>
      </c>
      <c r="G46" s="285">
        <f t="shared" si="10"/>
        <v>75052.64432659185</v>
      </c>
      <c r="H46" s="285">
        <f t="shared" si="10"/>
        <v>57031.25554577938</v>
      </c>
      <c r="I46" s="285">
        <f t="shared" si="10"/>
        <v>56062.0955010555</v>
      </c>
      <c r="J46" s="285">
        <f t="shared" si="10"/>
        <v>96133.95978677936</v>
      </c>
      <c r="K46" s="285">
        <f t="shared" si="10"/>
        <v>55359.09905295993</v>
      </c>
      <c r="L46" s="285">
        <f t="shared" si="10"/>
        <v>48399.486509303184</v>
      </c>
      <c r="M46" s="285">
        <f t="shared" si="10"/>
        <v>80888.1205024908</v>
      </c>
      <c r="N46" s="285">
        <f t="shared" si="10"/>
        <v>61021.32607809509</v>
      </c>
      <c r="O46" s="285">
        <f t="shared" si="10"/>
        <v>86786.03325533331</v>
      </c>
      <c r="P46" s="286">
        <f t="shared" si="10"/>
        <v>0</v>
      </c>
      <c r="S46" s="418">
        <f t="shared" si="10"/>
        <v>0</v>
      </c>
    </row>
    <row r="47" spans="1:19" ht="15" hidden="1" outlineLevel="1">
      <c r="A47" s="524" t="s">
        <v>53</v>
      </c>
      <c r="B47" s="552">
        <v>0.0013877496</v>
      </c>
      <c r="C47" s="551">
        <f t="shared" si="11"/>
        <v>920645.5699801284</v>
      </c>
      <c r="D47" s="284">
        <f t="shared" si="9"/>
        <v>920645.5699733563</v>
      </c>
      <c r="E47" s="285">
        <f t="shared" si="12"/>
        <v>70401.18760460503</v>
      </c>
      <c r="F47" s="285">
        <f t="shared" si="10"/>
        <v>74431.11153973162</v>
      </c>
      <c r="G47" s="285">
        <f t="shared" si="10"/>
        <v>94411.58674311813</v>
      </c>
      <c r="H47" s="285">
        <f t="shared" si="10"/>
        <v>71741.793754781</v>
      </c>
      <c r="I47" s="285">
        <f t="shared" si="10"/>
        <v>70522.65033283505</v>
      </c>
      <c r="J47" s="285">
        <f t="shared" si="10"/>
        <v>120930.57832678099</v>
      </c>
      <c r="K47" s="285">
        <f t="shared" si="10"/>
        <v>69638.32426098254</v>
      </c>
      <c r="L47" s="285">
        <f t="shared" si="10"/>
        <v>60883.561930361546</v>
      </c>
      <c r="M47" s="285">
        <f t="shared" si="10"/>
        <v>101752.25501818756</v>
      </c>
      <c r="N47" s="285">
        <f t="shared" si="10"/>
        <v>76761.05581480428</v>
      </c>
      <c r="O47" s="285">
        <f t="shared" si="10"/>
        <v>109171.46464716853</v>
      </c>
      <c r="P47" s="286">
        <f t="shared" si="10"/>
        <v>0</v>
      </c>
      <c r="S47" s="418">
        <f t="shared" si="10"/>
        <v>0</v>
      </c>
    </row>
    <row r="48" spans="1:19" ht="15" hidden="1" outlineLevel="1">
      <c r="A48" s="524" t="s">
        <v>54</v>
      </c>
      <c r="B48" s="552">
        <v>0</v>
      </c>
      <c r="C48" s="551">
        <f t="shared" si="11"/>
        <v>0</v>
      </c>
      <c r="D48" s="284">
        <f t="shared" si="9"/>
        <v>0</v>
      </c>
      <c r="E48" s="285">
        <f t="shared" si="12"/>
        <v>0</v>
      </c>
      <c r="F48" s="285">
        <f t="shared" si="10"/>
        <v>0</v>
      </c>
      <c r="G48" s="285">
        <f t="shared" si="10"/>
        <v>0</v>
      </c>
      <c r="H48" s="285">
        <f t="shared" si="10"/>
        <v>0</v>
      </c>
      <c r="I48" s="285">
        <f t="shared" si="10"/>
        <v>0</v>
      </c>
      <c r="J48" s="285">
        <f t="shared" si="10"/>
        <v>0</v>
      </c>
      <c r="K48" s="285">
        <f t="shared" si="10"/>
        <v>0</v>
      </c>
      <c r="L48" s="285">
        <f t="shared" si="10"/>
        <v>0</v>
      </c>
      <c r="M48" s="285">
        <f t="shared" si="10"/>
        <v>0</v>
      </c>
      <c r="N48" s="285">
        <f t="shared" si="10"/>
        <v>0</v>
      </c>
      <c r="O48" s="285">
        <f t="shared" si="10"/>
        <v>0</v>
      </c>
      <c r="P48" s="286">
        <f t="shared" si="10"/>
        <v>0</v>
      </c>
      <c r="S48" s="418">
        <f t="shared" si="10"/>
        <v>0</v>
      </c>
    </row>
    <row r="49" spans="1:19" ht="15" hidden="1" outlineLevel="1">
      <c r="A49" s="524" t="s">
        <v>55</v>
      </c>
      <c r="B49" s="552">
        <v>0.0731161313</v>
      </c>
      <c r="C49" s="551">
        <f t="shared" si="11"/>
        <v>48505899.317449205</v>
      </c>
      <c r="D49" s="284">
        <f t="shared" si="9"/>
        <v>48505899.317092404</v>
      </c>
      <c r="E49" s="285">
        <f t="shared" si="12"/>
        <v>3709215.6081862566</v>
      </c>
      <c r="F49" s="285">
        <f t="shared" si="10"/>
        <v>3921539.5372075494</v>
      </c>
      <c r="G49" s="285">
        <f t="shared" si="10"/>
        <v>4974247.495766646</v>
      </c>
      <c r="H49" s="285">
        <f t="shared" si="10"/>
        <v>3779847.9004224446</v>
      </c>
      <c r="I49" s="285">
        <f t="shared" si="10"/>
        <v>3715615.0946536437</v>
      </c>
      <c r="J49" s="285">
        <f t="shared" si="10"/>
        <v>6371449.174350944</v>
      </c>
      <c r="K49" s="285">
        <f t="shared" si="10"/>
        <v>3669022.754665521</v>
      </c>
      <c r="L49" s="285">
        <f t="shared" si="10"/>
        <v>3207762.054560849</v>
      </c>
      <c r="M49" s="285">
        <f t="shared" si="10"/>
        <v>5361004.058643495</v>
      </c>
      <c r="N49" s="285">
        <f t="shared" si="10"/>
        <v>4044296.921924429</v>
      </c>
      <c r="O49" s="285">
        <f t="shared" si="10"/>
        <v>5751898.716710624</v>
      </c>
      <c r="P49" s="286">
        <f t="shared" si="10"/>
        <v>0</v>
      </c>
      <c r="S49" s="418">
        <f t="shared" si="10"/>
        <v>0</v>
      </c>
    </row>
    <row r="50" spans="1:19" ht="15" hidden="1" outlineLevel="1">
      <c r="A50" s="524" t="s">
        <v>56</v>
      </c>
      <c r="B50" s="552">
        <v>0.156273218</v>
      </c>
      <c r="C50" s="551">
        <f t="shared" si="11"/>
        <v>103673058.78397578</v>
      </c>
      <c r="D50" s="284">
        <f t="shared" si="9"/>
        <v>103673058.78321317</v>
      </c>
      <c r="E50" s="285">
        <f t="shared" si="12"/>
        <v>7927813.58970908</v>
      </c>
      <c r="F50" s="285">
        <f t="shared" si="10"/>
        <v>8381619.652155399</v>
      </c>
      <c r="G50" s="285">
        <f t="shared" si="10"/>
        <v>10631602.759484282</v>
      </c>
      <c r="H50" s="285">
        <f t="shared" si="10"/>
        <v>8078778.02677942</v>
      </c>
      <c r="I50" s="285">
        <f t="shared" si="10"/>
        <v>7941491.396863601</v>
      </c>
      <c r="J50" s="285">
        <f t="shared" si="10"/>
        <v>13617882.238789419</v>
      </c>
      <c r="K50" s="285">
        <f t="shared" si="10"/>
        <v>7841908.243671058</v>
      </c>
      <c r="L50" s="285">
        <f t="shared" si="10"/>
        <v>6856042.434571691</v>
      </c>
      <c r="M50" s="285">
        <f t="shared" si="10"/>
        <v>11458228.72544789</v>
      </c>
      <c r="N50" s="285">
        <f t="shared" si="10"/>
        <v>8643992.554029254</v>
      </c>
      <c r="O50" s="285">
        <f t="shared" si="10"/>
        <v>12293699.161712069</v>
      </c>
      <c r="P50" s="286">
        <f t="shared" si="10"/>
        <v>0</v>
      </c>
      <c r="S50" s="418">
        <f t="shared" si="10"/>
        <v>0</v>
      </c>
    </row>
    <row r="51" spans="1:19" ht="15" hidden="1" outlineLevel="1">
      <c r="A51" s="524" t="s">
        <v>57</v>
      </c>
      <c r="B51" s="552">
        <v>0.001167648</v>
      </c>
      <c r="C51" s="551">
        <f t="shared" si="11"/>
        <v>774628.1883245775</v>
      </c>
      <c r="D51" s="284">
        <f t="shared" si="9"/>
        <v>774628.1883188792</v>
      </c>
      <c r="E51" s="285">
        <f t="shared" si="12"/>
        <v>59235.33028158817</v>
      </c>
      <c r="F51" s="285">
        <f t="shared" si="10"/>
        <v>62626.09517390208</v>
      </c>
      <c r="G51" s="285">
        <f t="shared" si="10"/>
        <v>79437.60202663968</v>
      </c>
      <c r="H51" s="285">
        <f t="shared" si="10"/>
        <v>60363.31193623297</v>
      </c>
      <c r="I51" s="285">
        <f t="shared" si="10"/>
        <v>59337.52862608225</v>
      </c>
      <c r="J51" s="285">
        <f t="shared" si="10"/>
        <v>101750.59529623296</v>
      </c>
      <c r="K51" s="285">
        <f t="shared" si="10"/>
        <v>58593.459545358724</v>
      </c>
      <c r="L51" s="285">
        <f t="shared" si="10"/>
        <v>51227.23099387872</v>
      </c>
      <c r="M51" s="285">
        <f t="shared" si="10"/>
        <v>85614.01643889984</v>
      </c>
      <c r="N51" s="285">
        <f t="shared" si="10"/>
        <v>64586.5027091664</v>
      </c>
      <c r="O51" s="285">
        <f t="shared" si="10"/>
        <v>91856.51529089762</v>
      </c>
      <c r="P51" s="286">
        <f t="shared" si="10"/>
        <v>0</v>
      </c>
      <c r="S51" s="418">
        <f t="shared" si="10"/>
        <v>0</v>
      </c>
    </row>
    <row r="52" spans="1:19" ht="15" hidden="1" outlineLevel="1">
      <c r="A52" s="524" t="s">
        <v>58</v>
      </c>
      <c r="B52" s="552">
        <v>0.0147322145</v>
      </c>
      <c r="C52" s="551">
        <f t="shared" si="11"/>
        <v>9773483.642453952</v>
      </c>
      <c r="D52" s="284">
        <f t="shared" si="9"/>
        <v>9773483.64238206</v>
      </c>
      <c r="E52" s="285">
        <f t="shared" si="12"/>
        <v>747372.1461319698</v>
      </c>
      <c r="F52" s="285">
        <f t="shared" si="10"/>
        <v>790153.4258606534</v>
      </c>
      <c r="G52" s="285">
        <f t="shared" si="10"/>
        <v>1002264.2032719539</v>
      </c>
      <c r="H52" s="285">
        <f t="shared" si="10"/>
        <v>761603.8903633581</v>
      </c>
      <c r="I52" s="285">
        <f t="shared" si="10"/>
        <v>748661.5826167937</v>
      </c>
      <c r="J52" s="285">
        <f t="shared" si="10"/>
        <v>1283787.233315858</v>
      </c>
      <c r="K52" s="285">
        <f t="shared" si="10"/>
        <v>739273.6632266721</v>
      </c>
      <c r="L52" s="285">
        <f t="shared" si="10"/>
        <v>646333.9595861677</v>
      </c>
      <c r="M52" s="285">
        <f t="shared" si="10"/>
        <v>1080192.0222399205</v>
      </c>
      <c r="N52" s="285">
        <f t="shared" si="10"/>
        <v>814887.8872025391</v>
      </c>
      <c r="O52" s="285">
        <f t="shared" si="10"/>
        <v>1158953.6285661717</v>
      </c>
      <c r="P52" s="286">
        <f t="shared" si="10"/>
        <v>0</v>
      </c>
      <c r="S52" s="418">
        <f t="shared" si="10"/>
        <v>0</v>
      </c>
    </row>
    <row r="53" spans="1:19" ht="15" hidden="1" outlineLevel="1">
      <c r="A53" s="524" t="s">
        <v>59</v>
      </c>
      <c r="B53" s="552">
        <v>0.1723665597</v>
      </c>
      <c r="C53" s="551">
        <f t="shared" si="11"/>
        <v>114349526.4567328</v>
      </c>
      <c r="D53" s="284">
        <f t="shared" si="9"/>
        <v>114349526.45589165</v>
      </c>
      <c r="E53" s="285">
        <f t="shared" si="12"/>
        <v>8744236.356616534</v>
      </c>
      <c r="F53" s="285">
        <f t="shared" si="10"/>
        <v>9244776.313212778</v>
      </c>
      <c r="G53" s="285">
        <f t="shared" si="10"/>
        <v>11726467.370431526</v>
      </c>
      <c r="H53" s="285">
        <f t="shared" si="10"/>
        <v>8910747.426061982</v>
      </c>
      <c r="I53" s="285">
        <f t="shared" si="10"/>
        <v>8759322.732859615</v>
      </c>
      <c r="J53" s="285">
        <f t="shared" si="10"/>
        <v>15020280.134628482</v>
      </c>
      <c r="K53" s="285">
        <f t="shared" si="10"/>
        <v>8649484.298996452</v>
      </c>
      <c r="L53" s="285">
        <f t="shared" si="10"/>
        <v>7562091.974098433</v>
      </c>
      <c r="M53" s="285">
        <f t="shared" si="10"/>
        <v>12638221.001254154</v>
      </c>
      <c r="N53" s="285">
        <f t="shared" si="10"/>
        <v>9534168.923368808</v>
      </c>
      <c r="O53" s="285">
        <f t="shared" si="10"/>
        <v>13559729.924362877</v>
      </c>
      <c r="P53" s="286">
        <f t="shared" si="10"/>
        <v>0</v>
      </c>
      <c r="S53" s="418">
        <f t="shared" si="10"/>
        <v>0</v>
      </c>
    </row>
    <row r="54" spans="1:19" ht="15" hidden="1" outlineLevel="1">
      <c r="A54" s="524" t="s">
        <v>60</v>
      </c>
      <c r="B54" s="552">
        <v>0.5459202672</v>
      </c>
      <c r="C54" s="551">
        <f t="shared" si="11"/>
        <v>362168416.80952245</v>
      </c>
      <c r="D54" s="284">
        <f t="shared" si="9"/>
        <v>362168416.8068583</v>
      </c>
      <c r="E54" s="285">
        <f t="shared" si="12"/>
        <v>27694791.011507627</v>
      </c>
      <c r="F54" s="285">
        <f t="shared" si="10"/>
        <v>29280103.7735938</v>
      </c>
      <c r="G54" s="285">
        <f t="shared" si="10"/>
        <v>37140128.63817725</v>
      </c>
      <c r="H54" s="285">
        <f t="shared" si="10"/>
        <v>28222165.739422537</v>
      </c>
      <c r="I54" s="285">
        <f t="shared" si="10"/>
        <v>27742572.6610575</v>
      </c>
      <c r="J54" s="285">
        <f t="shared" si="10"/>
        <v>47572309.610326536</v>
      </c>
      <c r="K54" s="285">
        <f t="shared" si="10"/>
        <v>27394691.80024684</v>
      </c>
      <c r="L54" s="285">
        <f t="shared" si="10"/>
        <v>23950697.15538792</v>
      </c>
      <c r="M54" s="285">
        <f t="shared" si="10"/>
        <v>40027839.49477016</v>
      </c>
      <c r="N54" s="285">
        <f t="shared" si="10"/>
        <v>30196669.55837859</v>
      </c>
      <c r="O54" s="285">
        <f t="shared" si="10"/>
        <v>42946447.36398958</v>
      </c>
      <c r="P54" s="286">
        <f t="shared" si="10"/>
        <v>0</v>
      </c>
      <c r="S54" s="418">
        <f t="shared" si="10"/>
        <v>0</v>
      </c>
    </row>
    <row r="55" spans="1:19" ht="15" hidden="1" outlineLevel="1">
      <c r="A55" s="525" t="s">
        <v>80</v>
      </c>
      <c r="B55" s="290">
        <f>SUBTOTAL(9,B42:B54)</f>
        <v>1</v>
      </c>
      <c r="C55" s="291">
        <f>SUBTOTAL(9,C42:C54)</f>
        <v>663408996.82488</v>
      </c>
      <c r="D55" s="291">
        <f t="shared" si="9"/>
        <v>663408996.8199999</v>
      </c>
      <c r="E55" s="291">
        <f aca="true" t="shared" si="13" ref="E55:S55">SUBTOTAL(9,E42:E54)</f>
        <v>50730468.67</v>
      </c>
      <c r="F55" s="291">
        <f t="shared" si="13"/>
        <v>53634395.95999999</v>
      </c>
      <c r="G55" s="291">
        <f t="shared" si="13"/>
        <v>68032148.41</v>
      </c>
      <c r="H55" s="291">
        <f t="shared" si="13"/>
        <v>51696497.52</v>
      </c>
      <c r="I55" s="291">
        <f t="shared" si="13"/>
        <v>50817993.629999995</v>
      </c>
      <c r="J55" s="291">
        <f t="shared" si="13"/>
        <v>87141497.52000001</v>
      </c>
      <c r="K55" s="291">
        <f t="shared" si="13"/>
        <v>50180756.14</v>
      </c>
      <c r="L55" s="291">
        <f t="shared" si="13"/>
        <v>43872152.39</v>
      </c>
      <c r="M55" s="291">
        <f t="shared" si="13"/>
        <v>73321768.58</v>
      </c>
      <c r="N55" s="291">
        <f t="shared" si="13"/>
        <v>55313333.05</v>
      </c>
      <c r="O55" s="291">
        <f t="shared" si="13"/>
        <v>78667984.94999999</v>
      </c>
      <c r="P55" s="312">
        <f t="shared" si="13"/>
        <v>0</v>
      </c>
      <c r="S55" s="601">
        <f t="shared" si="13"/>
        <v>0</v>
      </c>
    </row>
    <row r="56" spans="1:19" ht="15" collapsed="1">
      <c r="A56" s="522" t="s">
        <v>28</v>
      </c>
      <c r="B56" s="553">
        <f>'County One Time Input-BASE'!B49</f>
        <v>0.0110675688</v>
      </c>
      <c r="C56" s="549">
        <f>$C$5*$B56</f>
        <v>18155239.85952</v>
      </c>
      <c r="D56" s="278">
        <f t="shared" si="9"/>
        <v>18155239.85</v>
      </c>
      <c r="E56" s="279">
        <f aca="true" t="shared" si="14" ref="E56:P57">ROUND(E$5*$B56,2)</f>
        <v>1388319.77</v>
      </c>
      <c r="F56" s="279">
        <f t="shared" si="14"/>
        <v>1467790.35</v>
      </c>
      <c r="G56" s="279">
        <f t="shared" si="14"/>
        <v>1861807.69</v>
      </c>
      <c r="H56" s="279">
        <f t="shared" si="14"/>
        <v>1414756.68</v>
      </c>
      <c r="I56" s="279">
        <f t="shared" si="14"/>
        <v>1390715.03</v>
      </c>
      <c r="J56" s="279">
        <f t="shared" si="14"/>
        <v>2384765.35</v>
      </c>
      <c r="K56" s="279">
        <f t="shared" si="14"/>
        <v>1373276.02</v>
      </c>
      <c r="L56" s="279">
        <f t="shared" si="14"/>
        <v>1200631.06</v>
      </c>
      <c r="M56" s="279">
        <f t="shared" si="14"/>
        <v>2006566.54</v>
      </c>
      <c r="N56" s="279">
        <f t="shared" si="14"/>
        <v>1513737.13</v>
      </c>
      <c r="O56" s="279">
        <f t="shared" si="14"/>
        <v>2152874.23</v>
      </c>
      <c r="P56" s="280">
        <f t="shared" si="14"/>
        <v>0</v>
      </c>
      <c r="S56" s="417">
        <f>ROUND(S$1*R$2*'County One Time Input-GROWTH'!C$10*'County One Time Input-GROWTH'!B43,2)</f>
        <v>0</v>
      </c>
    </row>
    <row r="57" spans="1:19" ht="15">
      <c r="A57" s="522" t="s">
        <v>29</v>
      </c>
      <c r="B57" s="553">
        <f>'County One Time Input-BASE'!B50</f>
        <v>0.0233284268</v>
      </c>
      <c r="C57" s="549">
        <f>$C$5*$B57</f>
        <v>38267951.32272</v>
      </c>
      <c r="D57" s="278">
        <f t="shared" si="9"/>
        <v>38267951.32</v>
      </c>
      <c r="E57" s="279">
        <f t="shared" si="14"/>
        <v>2926326.17</v>
      </c>
      <c r="F57" s="279">
        <f t="shared" si="14"/>
        <v>3093835.72</v>
      </c>
      <c r="G57" s="279">
        <f t="shared" si="14"/>
        <v>3924352.78</v>
      </c>
      <c r="H57" s="279">
        <f t="shared" si="14"/>
        <v>2982050.38</v>
      </c>
      <c r="I57" s="279">
        <f t="shared" si="14"/>
        <v>2931374.94</v>
      </c>
      <c r="J57" s="279">
        <f t="shared" si="14"/>
        <v>5026652.64</v>
      </c>
      <c r="K57" s="279">
        <f t="shared" si="14"/>
        <v>2894616.66</v>
      </c>
      <c r="L57" s="279">
        <f t="shared" si="14"/>
        <v>2530712.43</v>
      </c>
      <c r="M57" s="279">
        <f t="shared" si="14"/>
        <v>4229478.17</v>
      </c>
      <c r="N57" s="279">
        <f t="shared" si="14"/>
        <v>3190683.19</v>
      </c>
      <c r="O57" s="279">
        <f t="shared" si="14"/>
        <v>4537868.24</v>
      </c>
      <c r="P57" s="280">
        <f t="shared" si="14"/>
        <v>0</v>
      </c>
      <c r="S57" s="417">
        <f>ROUND(S$1*R$2*'County One Time Input-GROWTH'!C$10*'County One Time Input-GROWTH'!B44,2)</f>
        <v>0</v>
      </c>
    </row>
    <row r="58" spans="1:19" ht="15" hidden="1" outlineLevel="1">
      <c r="A58" s="523"/>
      <c r="B58" s="550" t="s">
        <v>72</v>
      </c>
      <c r="C58" s="551"/>
      <c r="D58" s="284">
        <f t="shared" si="9"/>
        <v>0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6"/>
      <c r="S58" s="418"/>
    </row>
    <row r="59" spans="1:19" ht="15" hidden="1" outlineLevel="1">
      <c r="A59" s="524" t="s">
        <v>29</v>
      </c>
      <c r="B59" s="552">
        <v>0.6750743897</v>
      </c>
      <c r="C59" s="551">
        <f>$C$57*B59</f>
        <v>25833713.88425451</v>
      </c>
      <c r="D59" s="284">
        <f t="shared" si="9"/>
        <v>25833713.882418312</v>
      </c>
      <c r="E59" s="285">
        <f>E$57*$B59</f>
        <v>1975487.8532758884</v>
      </c>
      <c r="F59" s="285">
        <f aca="true" t="shared" si="15" ref="F59:S59">F$57*$B59</f>
        <v>2088569.2605110602</v>
      </c>
      <c r="G59" s="285">
        <f t="shared" si="15"/>
        <v>2649230.0579259982</v>
      </c>
      <c r="H59" s="285">
        <f t="shared" si="15"/>
        <v>2013105.840333153</v>
      </c>
      <c r="I59" s="285">
        <f t="shared" si="15"/>
        <v>1978896.1486023741</v>
      </c>
      <c r="J59" s="285">
        <f t="shared" si="15"/>
        <v>3393364.463181894</v>
      </c>
      <c r="K59" s="285">
        <f t="shared" si="15"/>
        <v>1954081.5751649525</v>
      </c>
      <c r="L59" s="285">
        <f t="shared" si="15"/>
        <v>1708419.149188454</v>
      </c>
      <c r="M59" s="285">
        <f t="shared" si="15"/>
        <v>2855212.394362223</v>
      </c>
      <c r="N59" s="285">
        <f t="shared" si="15"/>
        <v>2153948.507215299</v>
      </c>
      <c r="O59" s="285">
        <f t="shared" si="15"/>
        <v>3063398.6326570134</v>
      </c>
      <c r="P59" s="286">
        <f t="shared" si="15"/>
        <v>0</v>
      </c>
      <c r="S59" s="418">
        <f t="shared" si="15"/>
        <v>0</v>
      </c>
    </row>
    <row r="60" spans="1:19" ht="15" hidden="1" outlineLevel="1">
      <c r="A60" s="524" t="s">
        <v>61</v>
      </c>
      <c r="B60" s="552">
        <v>0.3152138903</v>
      </c>
      <c r="C60" s="551">
        <f>$C$57*B60</f>
        <v>12062589.810245601</v>
      </c>
      <c r="D60" s="284">
        <f t="shared" si="9"/>
        <v>12062589.809388222</v>
      </c>
      <c r="E60" s="285">
        <f aca="true" t="shared" si="16" ref="E60:S61">E$57*$B60</f>
        <v>922418.6563323992</v>
      </c>
      <c r="F60" s="285">
        <f t="shared" si="16"/>
        <v>975219.9932503017</v>
      </c>
      <c r="G60" s="285">
        <f t="shared" si="16"/>
        <v>1237010.50669342</v>
      </c>
      <c r="H60" s="285">
        <f t="shared" si="16"/>
        <v>939983.7013503934</v>
      </c>
      <c r="I60" s="285">
        <f t="shared" si="16"/>
        <v>924010.0987653291</v>
      </c>
      <c r="J60" s="285">
        <f t="shared" si="16"/>
        <v>1584470.7338411654</v>
      </c>
      <c r="K60" s="285">
        <f t="shared" si="16"/>
        <v>912423.3783257925</v>
      </c>
      <c r="L60" s="285">
        <f t="shared" si="16"/>
        <v>797715.7102908666</v>
      </c>
      <c r="M60" s="285">
        <f t="shared" si="16"/>
        <v>1333190.2679046248</v>
      </c>
      <c r="N60" s="285">
        <f t="shared" si="16"/>
        <v>1005747.6610347141</v>
      </c>
      <c r="O60" s="285">
        <f t="shared" si="16"/>
        <v>1430399.1015992141</v>
      </c>
      <c r="P60" s="286">
        <f t="shared" si="16"/>
        <v>0</v>
      </c>
      <c r="S60" s="418">
        <f t="shared" si="16"/>
        <v>0</v>
      </c>
    </row>
    <row r="61" spans="1:19" ht="15" hidden="1" outlineLevel="1">
      <c r="A61" s="524" t="s">
        <v>62</v>
      </c>
      <c r="B61" s="552">
        <v>0.00971172</v>
      </c>
      <c r="C61" s="551">
        <f>$C$57*B61</f>
        <v>371647.6282198863</v>
      </c>
      <c r="D61" s="284">
        <f t="shared" si="9"/>
        <v>371647.62819347036</v>
      </c>
      <c r="E61" s="285">
        <f t="shared" si="16"/>
        <v>28419.6603917124</v>
      </c>
      <c r="F61" s="285">
        <f t="shared" si="16"/>
        <v>30046.4662386384</v>
      </c>
      <c r="G61" s="285">
        <f t="shared" si="16"/>
        <v>38112.2153805816</v>
      </c>
      <c r="H61" s="285">
        <f t="shared" si="16"/>
        <v>28960.8383164536</v>
      </c>
      <c r="I61" s="285">
        <f t="shared" si="16"/>
        <v>28468.6926322968</v>
      </c>
      <c r="J61" s="285">
        <f t="shared" si="16"/>
        <v>48817.442976940794</v>
      </c>
      <c r="K61" s="285">
        <f t="shared" si="16"/>
        <v>28111.7065092552</v>
      </c>
      <c r="L61" s="285">
        <f t="shared" si="16"/>
        <v>24577.5705206796</v>
      </c>
      <c r="M61" s="285">
        <f t="shared" si="16"/>
        <v>41075.5077331524</v>
      </c>
      <c r="N61" s="285">
        <f t="shared" si="16"/>
        <v>30987.0217499868</v>
      </c>
      <c r="O61" s="285">
        <f t="shared" si="16"/>
        <v>44070.5057437728</v>
      </c>
      <c r="P61" s="286">
        <f t="shared" si="16"/>
        <v>0</v>
      </c>
      <c r="S61" s="418">
        <f t="shared" si="16"/>
        <v>0</v>
      </c>
    </row>
    <row r="62" spans="1:19" ht="15" hidden="1" outlineLevel="1">
      <c r="A62" s="525" t="s">
        <v>81</v>
      </c>
      <c r="B62" s="552">
        <f>SUBTOTAL(9,B59:B61)</f>
        <v>1</v>
      </c>
      <c r="C62" s="551">
        <f>SUBTOTAL(9,C59:C61)</f>
        <v>38267951.32272</v>
      </c>
      <c r="D62" s="283">
        <f t="shared" si="9"/>
        <v>38267951.32</v>
      </c>
      <c r="E62" s="283">
        <f aca="true" t="shared" si="17" ref="E62:S62">SUBTOTAL(9,E59:E61)</f>
        <v>2926326.17</v>
      </c>
      <c r="F62" s="283">
        <f t="shared" si="17"/>
        <v>3093835.72</v>
      </c>
      <c r="G62" s="283">
        <f t="shared" si="17"/>
        <v>3924352.78</v>
      </c>
      <c r="H62" s="283">
        <f t="shared" si="17"/>
        <v>2982050.38</v>
      </c>
      <c r="I62" s="283">
        <f t="shared" si="17"/>
        <v>2931374.94</v>
      </c>
      <c r="J62" s="283">
        <f t="shared" si="17"/>
        <v>5026652.64</v>
      </c>
      <c r="K62" s="283">
        <f t="shared" si="17"/>
        <v>2894616.6600000006</v>
      </c>
      <c r="L62" s="283">
        <f t="shared" si="17"/>
        <v>2530712.43</v>
      </c>
      <c r="M62" s="283">
        <f t="shared" si="17"/>
        <v>4229478.17</v>
      </c>
      <c r="N62" s="283">
        <f t="shared" si="17"/>
        <v>3190683.19</v>
      </c>
      <c r="O62" s="283">
        <f t="shared" si="17"/>
        <v>4537868.24</v>
      </c>
      <c r="P62" s="305">
        <f t="shared" si="17"/>
        <v>0</v>
      </c>
      <c r="S62" s="419">
        <f t="shared" si="17"/>
        <v>0</v>
      </c>
    </row>
    <row r="63" spans="1:19" ht="15" collapsed="1">
      <c r="A63" s="522" t="s">
        <v>31</v>
      </c>
      <c r="B63" s="553">
        <f>'County One Time Input-BASE'!B51</f>
        <v>0.0199132258</v>
      </c>
      <c r="C63" s="549">
        <f>$C$5*$B63</f>
        <v>32665655.60232</v>
      </c>
      <c r="D63" s="278">
        <f t="shared" si="9"/>
        <v>32665655.619999997</v>
      </c>
      <c r="E63" s="279">
        <f aca="true" t="shared" si="18" ref="E63:P64">ROUND(E$5*$B63,2)</f>
        <v>2497922.14</v>
      </c>
      <c r="F63" s="279">
        <f t="shared" si="18"/>
        <v>2640908.87</v>
      </c>
      <c r="G63" s="279">
        <f t="shared" si="18"/>
        <v>3349841.11</v>
      </c>
      <c r="H63" s="279">
        <f t="shared" si="18"/>
        <v>2545488.52</v>
      </c>
      <c r="I63" s="279">
        <f t="shared" si="18"/>
        <v>2502231.79</v>
      </c>
      <c r="J63" s="279">
        <f t="shared" si="18"/>
        <v>4290768.08</v>
      </c>
      <c r="K63" s="279">
        <f t="shared" si="18"/>
        <v>2470854.79</v>
      </c>
      <c r="L63" s="279">
        <f t="shared" si="18"/>
        <v>2160224.88</v>
      </c>
      <c r="M63" s="279">
        <f t="shared" si="18"/>
        <v>3610297.2</v>
      </c>
      <c r="N63" s="279">
        <f t="shared" si="18"/>
        <v>2723578.21</v>
      </c>
      <c r="O63" s="279">
        <f t="shared" si="18"/>
        <v>3873540.03</v>
      </c>
      <c r="P63" s="280">
        <f t="shared" si="18"/>
        <v>0</v>
      </c>
      <c r="S63" s="417">
        <f>ROUND('County One Time Input-GROWTH'!B$10*'County One Time Input-GROWTH'!B45,2)</f>
        <v>0</v>
      </c>
    </row>
    <row r="64" spans="1:19" ht="15.75" collapsed="1" thickBot="1">
      <c r="A64" s="370"/>
      <c r="B64" s="554">
        <f>'County One Time Input-BASE'!B52</f>
        <v>0</v>
      </c>
      <c r="C64" s="555">
        <f>$C$5*$B64</f>
        <v>0</v>
      </c>
      <c r="D64" s="299">
        <f t="shared" si="9"/>
        <v>0</v>
      </c>
      <c r="E64" s="300">
        <f t="shared" si="18"/>
        <v>0</v>
      </c>
      <c r="F64" s="300">
        <f t="shared" si="18"/>
        <v>0</v>
      </c>
      <c r="G64" s="300">
        <f t="shared" si="18"/>
        <v>0</v>
      </c>
      <c r="H64" s="300">
        <f t="shared" si="18"/>
        <v>0</v>
      </c>
      <c r="I64" s="300">
        <f t="shared" si="18"/>
        <v>0</v>
      </c>
      <c r="J64" s="300">
        <f t="shared" si="18"/>
        <v>0</v>
      </c>
      <c r="K64" s="300">
        <f t="shared" si="18"/>
        <v>0</v>
      </c>
      <c r="L64" s="300">
        <f t="shared" si="18"/>
        <v>0</v>
      </c>
      <c r="M64" s="300">
        <f t="shared" si="18"/>
        <v>0</v>
      </c>
      <c r="N64" s="300">
        <f t="shared" si="18"/>
        <v>0</v>
      </c>
      <c r="O64" s="300">
        <f t="shared" si="18"/>
        <v>0</v>
      </c>
      <c r="P64" s="301">
        <f t="shared" si="18"/>
        <v>0</v>
      </c>
      <c r="S64" s="420">
        <f>ROUND('County One Time Input-GROWTH'!B$10*$B64,2)</f>
        <v>0</v>
      </c>
    </row>
    <row r="65" spans="1:19" ht="15.75" thickBot="1">
      <c r="A65" s="519" t="s">
        <v>95</v>
      </c>
      <c r="B65" s="556">
        <f>+B35+B36+B37+B38+B39+B40+B56+B57+B63+B64</f>
        <v>1.0000000000000002</v>
      </c>
      <c r="C65" s="557">
        <f>+C35+C36+C37+C38+C39+C40+C56+C57+C63+C64</f>
        <v>1640400000</v>
      </c>
      <c r="D65" s="65">
        <f>+D35+D36+D37+D38+D39+D40+D56+D57+D63+D64</f>
        <v>1640400000.0299997</v>
      </c>
      <c r="E65" s="65">
        <f>+E35+E36+E37+E38+E39+E40+E56+E57+E63+E64</f>
        <v>125440356.11999999</v>
      </c>
      <c r="F65" s="65">
        <f aca="true" t="shared" si="19" ref="F65:S65">+F35+F36+F37+F38+F39+F40+F56+F57+F63+F64</f>
        <v>132620847.07999998</v>
      </c>
      <c r="G65" s="65">
        <f t="shared" si="19"/>
        <v>168221921.6</v>
      </c>
      <c r="H65" s="65">
        <f t="shared" si="19"/>
        <v>127829039.01</v>
      </c>
      <c r="I65" s="65">
        <f t="shared" si="19"/>
        <v>125656777.59000002</v>
      </c>
      <c r="J65" s="65">
        <f t="shared" si="19"/>
        <v>215473280.01</v>
      </c>
      <c r="K65" s="65">
        <f t="shared" si="19"/>
        <v>124081091.41</v>
      </c>
      <c r="L65" s="65">
        <f t="shared" si="19"/>
        <v>108481915.57</v>
      </c>
      <c r="M65" s="65">
        <f t="shared" si="19"/>
        <v>181301474.28999996</v>
      </c>
      <c r="N65" s="65">
        <f t="shared" si="19"/>
        <v>136772325.92999998</v>
      </c>
      <c r="O65" s="65">
        <f t="shared" si="19"/>
        <v>194520971.42000002</v>
      </c>
      <c r="P65" s="67">
        <f t="shared" si="19"/>
        <v>0</v>
      </c>
      <c r="S65" s="421">
        <f t="shared" si="19"/>
        <v>0</v>
      </c>
    </row>
    <row r="76" spans="1:4" ht="15">
      <c r="A76" s="84" t="s">
        <v>43</v>
      </c>
      <c r="B76" s="84"/>
      <c r="C76" s="543">
        <f>C6</f>
        <v>959396000</v>
      </c>
      <c r="D76" s="39"/>
    </row>
    <row r="77" spans="2:3" ht="15.75" thickBot="1">
      <c r="B77" s="84"/>
      <c r="C77" s="84"/>
    </row>
    <row r="78" spans="1:19" ht="45.75" thickBot="1">
      <c r="A78" s="519" t="s">
        <v>37</v>
      </c>
      <c r="B78" s="544" t="s">
        <v>38</v>
      </c>
      <c r="C78" s="544" t="s">
        <v>39</v>
      </c>
      <c r="D78" s="57" t="str">
        <f>D3</f>
        <v>RECEIPTS THROUGH JULY</v>
      </c>
      <c r="E78" s="27" t="s">
        <v>7</v>
      </c>
      <c r="F78" s="27" t="s">
        <v>8</v>
      </c>
      <c r="G78" s="27" t="s">
        <v>9</v>
      </c>
      <c r="H78" s="27" t="s">
        <v>10</v>
      </c>
      <c r="I78" s="27" t="s">
        <v>11</v>
      </c>
      <c r="J78" s="27" t="s">
        <v>12</v>
      </c>
      <c r="K78" s="27" t="s">
        <v>13</v>
      </c>
      <c r="L78" s="27" t="s">
        <v>14</v>
      </c>
      <c r="M78" s="27" t="s">
        <v>15</v>
      </c>
      <c r="N78" s="27" t="s">
        <v>16</v>
      </c>
      <c r="O78" s="27" t="s">
        <v>17</v>
      </c>
      <c r="P78" s="28" t="s">
        <v>18</v>
      </c>
      <c r="S78" s="414" t="s">
        <v>181</v>
      </c>
    </row>
    <row r="79" spans="1:19" ht="4.5" customHeight="1" thickBot="1">
      <c r="A79" s="520"/>
      <c r="B79" s="545"/>
      <c r="C79" s="545"/>
      <c r="D79" s="4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S79" s="415"/>
    </row>
    <row r="80" spans="1:19" ht="15">
      <c r="A80" s="526" t="s">
        <v>44</v>
      </c>
      <c r="B80" s="558">
        <f>'County One Time Input-BASE'!B60</f>
        <v>0.1860292278185457</v>
      </c>
      <c r="C80" s="559">
        <f>C$76*B80</f>
        <v>178475697.05220148</v>
      </c>
      <c r="D80" s="273">
        <f>SUM(E80:P80)+S80</f>
        <v>178475697.07</v>
      </c>
      <c r="E80" s="274">
        <f aca="true" t="shared" si="20" ref="E80:S80">ROUND(E$6*$B80,2)</f>
        <v>13641422.67</v>
      </c>
      <c r="F80" s="274">
        <f t="shared" si="20"/>
        <v>14426817.96</v>
      </c>
      <c r="G80" s="274">
        <f t="shared" si="20"/>
        <v>18320829.7</v>
      </c>
      <c r="H80" s="274">
        <f t="shared" si="20"/>
        <v>13902694.54</v>
      </c>
      <c r="I80" s="274">
        <f t="shared" si="20"/>
        <v>13665094.64</v>
      </c>
      <c r="J80" s="274">
        <f t="shared" si="20"/>
        <v>23489138.43</v>
      </c>
      <c r="K80" s="274">
        <f t="shared" si="20"/>
        <v>13492747.58</v>
      </c>
      <c r="L80" s="274">
        <f t="shared" si="20"/>
        <v>11786524.54</v>
      </c>
      <c r="M80" s="274">
        <f t="shared" si="20"/>
        <v>19751458.76</v>
      </c>
      <c r="N80" s="274">
        <f t="shared" si="20"/>
        <v>14880902.77</v>
      </c>
      <c r="O80" s="274">
        <f t="shared" si="20"/>
        <v>21118065.48</v>
      </c>
      <c r="P80" s="275">
        <f t="shared" si="20"/>
        <v>0</v>
      </c>
      <c r="S80" s="416">
        <f t="shared" si="20"/>
        <v>0</v>
      </c>
    </row>
    <row r="81" spans="1:19" ht="15" hidden="1" outlineLevel="1">
      <c r="A81" s="523"/>
      <c r="B81" s="550" t="s">
        <v>71</v>
      </c>
      <c r="C81" s="551"/>
      <c r="D81" s="284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6"/>
      <c r="S81" s="418"/>
    </row>
    <row r="82" spans="1:19" ht="15" hidden="1" outlineLevel="1">
      <c r="A82" s="524" t="s">
        <v>63</v>
      </c>
      <c r="B82" s="552">
        <v>0.7344973076556713</v>
      </c>
      <c r="C82" s="551">
        <f>C$80*B82</f>
        <v>131089918.96681122</v>
      </c>
      <c r="D82" s="284">
        <f>SUM(E82:P82)+S82</f>
        <v>131089918.97988418</v>
      </c>
      <c r="E82" s="285">
        <f>E$80*$B82</f>
        <v>10019588.22370804</v>
      </c>
      <c r="F82" s="285">
        <f aca="true" t="shared" si="21" ref="F82:S82">F$80*$B82</f>
        <v>10596458.949658485</v>
      </c>
      <c r="G82" s="285">
        <f t="shared" si="21"/>
        <v>13456600.08866806</v>
      </c>
      <c r="H82" s="285">
        <f t="shared" si="21"/>
        <v>10211491.708789201</v>
      </c>
      <c r="I82" s="285">
        <f t="shared" si="21"/>
        <v>10036975.221939946</v>
      </c>
      <c r="J82" s="285">
        <f t="shared" si="21"/>
        <v>17252708.935986362</v>
      </c>
      <c r="K82" s="285">
        <f t="shared" si="21"/>
        <v>9910386.770387575</v>
      </c>
      <c r="L82" s="285">
        <f t="shared" si="21"/>
        <v>8657170.5412475</v>
      </c>
      <c r="M82" s="285">
        <f t="shared" si="21"/>
        <v>14507393.281492027</v>
      </c>
      <c r="N82" s="285">
        <f t="shared" si="21"/>
        <v>10929983.020050822</v>
      </c>
      <c r="O82" s="285">
        <f t="shared" si="21"/>
        <v>15511162.237956174</v>
      </c>
      <c r="P82" s="286">
        <f t="shared" si="21"/>
        <v>0</v>
      </c>
      <c r="S82" s="418">
        <f t="shared" si="21"/>
        <v>0</v>
      </c>
    </row>
    <row r="83" spans="1:19" ht="15" hidden="1" outlineLevel="1">
      <c r="A83" s="524" t="s">
        <v>64</v>
      </c>
      <c r="B83" s="552">
        <v>0.11505079313494221</v>
      </c>
      <c r="C83" s="551">
        <f>$C$80*B83</f>
        <v>20533770.501167446</v>
      </c>
      <c r="D83" s="284">
        <f>SUM(E83:P83)+S83</f>
        <v>20533770.503215183</v>
      </c>
      <c r="E83" s="285">
        <f aca="true" t="shared" si="22" ref="E83:S84">E$80*$B83</f>
        <v>1569456.497672481</v>
      </c>
      <c r="F83" s="285">
        <f t="shared" si="22"/>
        <v>1659816.8487114292</v>
      </c>
      <c r="G83" s="285">
        <f t="shared" si="22"/>
        <v>2107825.9878752055</v>
      </c>
      <c r="H83" s="285">
        <f t="shared" si="22"/>
        <v>1599516.0335398305</v>
      </c>
      <c r="I83" s="285">
        <f t="shared" si="22"/>
        <v>1572179.9765960476</v>
      </c>
      <c r="J83" s="285">
        <f t="shared" si="22"/>
        <v>2702444.006427951</v>
      </c>
      <c r="K83" s="285">
        <f t="shared" si="22"/>
        <v>1552351.3106485722</v>
      </c>
      <c r="L83" s="285">
        <f t="shared" si="22"/>
        <v>1356048.9966314598</v>
      </c>
      <c r="M83" s="285">
        <f t="shared" si="22"/>
        <v>2272420.9959101025</v>
      </c>
      <c r="N83" s="285">
        <f t="shared" si="22"/>
        <v>1712059.6662524585</v>
      </c>
      <c r="O83" s="285">
        <f t="shared" si="22"/>
        <v>2429650.182949644</v>
      </c>
      <c r="P83" s="286">
        <f t="shared" si="22"/>
        <v>0</v>
      </c>
      <c r="S83" s="418">
        <f t="shared" si="22"/>
        <v>0</v>
      </c>
    </row>
    <row r="84" spans="1:19" ht="15" hidden="1" outlineLevel="1">
      <c r="A84" s="524" t="s">
        <v>65</v>
      </c>
      <c r="B84" s="552">
        <v>0.1504518992093865</v>
      </c>
      <c r="C84" s="551">
        <f>$C$80*B84</f>
        <v>26852007.584222816</v>
      </c>
      <c r="D84" s="284">
        <f>SUM(E84:P84)+S84</f>
        <v>26852007.586900633</v>
      </c>
      <c r="E84" s="285">
        <f t="shared" si="22"/>
        <v>2052377.9486194802</v>
      </c>
      <c r="F84" s="285">
        <f t="shared" si="22"/>
        <v>2170542.161630087</v>
      </c>
      <c r="G84" s="285">
        <f t="shared" si="22"/>
        <v>2756403.6234567347</v>
      </c>
      <c r="H84" s="285">
        <f t="shared" si="22"/>
        <v>2091686.7976709679</v>
      </c>
      <c r="I84" s="285">
        <f t="shared" si="22"/>
        <v>2055939.4414640078</v>
      </c>
      <c r="J84" s="285">
        <f t="shared" si="22"/>
        <v>3533985.487585687</v>
      </c>
      <c r="K84" s="285">
        <f t="shared" si="22"/>
        <v>2030009.4989638538</v>
      </c>
      <c r="L84" s="285">
        <f t="shared" si="22"/>
        <v>1773305.0021210406</v>
      </c>
      <c r="M84" s="285">
        <f t="shared" si="22"/>
        <v>2971644.4825978745</v>
      </c>
      <c r="N84" s="285">
        <f t="shared" si="22"/>
        <v>2238860.0836967207</v>
      </c>
      <c r="O84" s="285">
        <f t="shared" si="22"/>
        <v>3177253.0590941845</v>
      </c>
      <c r="P84" s="286">
        <f t="shared" si="22"/>
        <v>0</v>
      </c>
      <c r="S84" s="418">
        <f t="shared" si="22"/>
        <v>0</v>
      </c>
    </row>
    <row r="85" spans="1:19" ht="15" hidden="1" outlineLevel="1">
      <c r="A85" s="525" t="s">
        <v>77</v>
      </c>
      <c r="B85" s="552">
        <f aca="true" t="shared" si="23" ref="B85:S85">SUBTOTAL(9,B82:B84)</f>
        <v>1</v>
      </c>
      <c r="C85" s="551">
        <f t="shared" si="23"/>
        <v>178475697.05220148</v>
      </c>
      <c r="D85" s="284">
        <f>SUM(E85:P85)+S85</f>
        <v>178475697.07</v>
      </c>
      <c r="E85" s="283">
        <f t="shared" si="23"/>
        <v>13641422.670000002</v>
      </c>
      <c r="F85" s="283">
        <f t="shared" si="23"/>
        <v>14426817.96</v>
      </c>
      <c r="G85" s="283">
        <f t="shared" si="23"/>
        <v>18320829.7</v>
      </c>
      <c r="H85" s="283">
        <f t="shared" si="23"/>
        <v>13902694.54</v>
      </c>
      <c r="I85" s="283">
        <f t="shared" si="23"/>
        <v>13665094.64</v>
      </c>
      <c r="J85" s="283">
        <f t="shared" si="23"/>
        <v>23489138.43</v>
      </c>
      <c r="K85" s="283">
        <f t="shared" si="23"/>
        <v>13492747.58</v>
      </c>
      <c r="L85" s="283">
        <f t="shared" si="23"/>
        <v>11786524.540000001</v>
      </c>
      <c r="M85" s="283">
        <f t="shared" si="23"/>
        <v>19751458.760000005</v>
      </c>
      <c r="N85" s="283">
        <f t="shared" si="23"/>
        <v>14880902.770000001</v>
      </c>
      <c r="O85" s="283">
        <f t="shared" si="23"/>
        <v>21118065.48</v>
      </c>
      <c r="P85" s="305">
        <f t="shared" si="23"/>
        <v>0</v>
      </c>
      <c r="S85" s="419">
        <f t="shared" si="23"/>
        <v>0</v>
      </c>
    </row>
    <row r="86" spans="1:19" ht="15.75" collapsed="1" thickBot="1">
      <c r="A86" s="527" t="s">
        <v>45</v>
      </c>
      <c r="B86" s="560">
        <f>'County One Time Input-BASE'!B61</f>
        <v>0.8139707721814543</v>
      </c>
      <c r="C86" s="561">
        <f>C$76*B86</f>
        <v>780920302.9477985</v>
      </c>
      <c r="D86" s="299">
        <f>SUM(E86:P86)+S86</f>
        <v>780920302.9299998</v>
      </c>
      <c r="E86" s="300">
        <f aca="true" t="shared" si="24" ref="E86:S86">ROUND(E$6*$B86,2)</f>
        <v>59688036.5</v>
      </c>
      <c r="F86" s="300">
        <f t="shared" si="24"/>
        <v>63124533.11</v>
      </c>
      <c r="G86" s="300">
        <f t="shared" si="24"/>
        <v>80162779.09</v>
      </c>
      <c r="H86" s="300">
        <f t="shared" si="24"/>
        <v>60831231.41</v>
      </c>
      <c r="I86" s="300">
        <f t="shared" si="24"/>
        <v>59791613.22</v>
      </c>
      <c r="J86" s="300">
        <f t="shared" si="24"/>
        <v>102776710.81</v>
      </c>
      <c r="K86" s="300">
        <f t="shared" si="24"/>
        <v>59037508.77</v>
      </c>
      <c r="L86" s="300">
        <f t="shared" si="24"/>
        <v>51571930.88</v>
      </c>
      <c r="M86" s="300">
        <f t="shared" si="24"/>
        <v>86422495.67</v>
      </c>
      <c r="N86" s="300">
        <f t="shared" si="24"/>
        <v>65111380.94</v>
      </c>
      <c r="O86" s="300">
        <f t="shared" si="24"/>
        <v>92402082.53</v>
      </c>
      <c r="P86" s="301">
        <f t="shared" si="24"/>
        <v>0</v>
      </c>
      <c r="S86" s="420">
        <f t="shared" si="24"/>
        <v>0</v>
      </c>
    </row>
    <row r="87" spans="1:19" ht="15.75" hidden="1" outlineLevel="1" thickBot="1">
      <c r="A87" s="528"/>
      <c r="B87" s="562" t="s">
        <v>74</v>
      </c>
      <c r="C87" s="563"/>
      <c r="D87" s="71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S87" s="422"/>
    </row>
    <row r="88" spans="1:19" ht="15" hidden="1" outlineLevel="1">
      <c r="A88" s="529" t="s">
        <v>66</v>
      </c>
      <c r="B88" s="564">
        <v>0.7481581936531475</v>
      </c>
      <c r="C88" s="565">
        <f>$C$86*B88</f>
        <v>584251923.2404937</v>
      </c>
      <c r="D88" s="76">
        <f>SUM(E88:P88)+S88</f>
        <v>584251923.2271776</v>
      </c>
      <c r="E88" s="77">
        <f aca="true" t="shared" si="25" ref="E88:S88">E$86*$B88</f>
        <v>44656093.57054314</v>
      </c>
      <c r="F88" s="77">
        <f t="shared" si="25"/>
        <v>47227136.666775905</v>
      </c>
      <c r="G88" s="77">
        <f t="shared" si="25"/>
        <v>59974440.00219071</v>
      </c>
      <c r="H88" s="77">
        <f t="shared" si="25"/>
        <v>45511384.2094022</v>
      </c>
      <c r="I88" s="77">
        <f t="shared" si="25"/>
        <v>44733585.342282854</v>
      </c>
      <c r="J88" s="77">
        <f t="shared" si="25"/>
        <v>76893238.30922152</v>
      </c>
      <c r="K88" s="77">
        <f t="shared" si="25"/>
        <v>44169395.919145055</v>
      </c>
      <c r="L88" s="77">
        <f t="shared" si="25"/>
        <v>38583962.65038578</v>
      </c>
      <c r="M88" s="77">
        <f t="shared" si="25"/>
        <v>64657698.251464166</v>
      </c>
      <c r="N88" s="77">
        <f t="shared" si="25"/>
        <v>48713613.15033238</v>
      </c>
      <c r="O88" s="77">
        <f t="shared" si="25"/>
        <v>69131375.15543386</v>
      </c>
      <c r="P88" s="78">
        <f t="shared" si="25"/>
        <v>0</v>
      </c>
      <c r="S88" s="423">
        <f t="shared" si="25"/>
        <v>0</v>
      </c>
    </row>
    <row r="89" spans="1:19" s="84" customFormat="1" ht="15" hidden="1" outlineLevel="2">
      <c r="A89" s="530"/>
      <c r="B89" s="88" t="s">
        <v>75</v>
      </c>
      <c r="C89" s="566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1"/>
      <c r="S89" s="424"/>
    </row>
    <row r="90" spans="1:19" s="84" customFormat="1" ht="15" hidden="1" outlineLevel="2">
      <c r="A90" s="92" t="s">
        <v>68</v>
      </c>
      <c r="B90" s="567">
        <v>0.029538024408195404</v>
      </c>
      <c r="C90" s="568">
        <f>C$88*$B90</f>
        <v>17257647.56921281</v>
      </c>
      <c r="D90" s="85">
        <f>SUM(E90:P90)+S90</f>
        <v>17257647.56881948</v>
      </c>
      <c r="E90" s="87">
        <f>E$88*$B90</f>
        <v>1319052.781861361</v>
      </c>
      <c r="F90" s="87">
        <f aca="true" t="shared" si="26" ref="F90:S90">F$88*$B90</f>
        <v>1394996.3155924068</v>
      </c>
      <c r="G90" s="87">
        <f t="shared" si="26"/>
        <v>1771526.47265256</v>
      </c>
      <c r="H90" s="87">
        <f t="shared" si="26"/>
        <v>1344316.3776280812</v>
      </c>
      <c r="I90" s="87">
        <f t="shared" si="26"/>
        <v>1321341.7357064432</v>
      </c>
      <c r="J90" s="87">
        <f t="shared" si="26"/>
        <v>2271274.350002971</v>
      </c>
      <c r="K90" s="87">
        <f t="shared" si="26"/>
        <v>1304676.694754953</v>
      </c>
      <c r="L90" s="87">
        <f t="shared" si="26"/>
        <v>1139694.030531995</v>
      </c>
      <c r="M90" s="87">
        <f t="shared" si="26"/>
        <v>1909860.6691294818</v>
      </c>
      <c r="N90" s="87">
        <f t="shared" si="26"/>
        <v>1438903.8942459063</v>
      </c>
      <c r="O90" s="87">
        <f t="shared" si="26"/>
        <v>2042004.2467133189</v>
      </c>
      <c r="P90" s="93">
        <f t="shared" si="26"/>
        <v>0</v>
      </c>
      <c r="S90" s="425">
        <f t="shared" si="26"/>
        <v>0</v>
      </c>
    </row>
    <row r="91" spans="1:19" s="84" customFormat="1" ht="15" hidden="1" outlineLevel="2">
      <c r="A91" s="92" t="s">
        <v>69</v>
      </c>
      <c r="B91" s="567">
        <v>0.04578847371754275</v>
      </c>
      <c r="C91" s="568">
        <f aca="true" t="shared" si="27" ref="C91:S92">C$88*$B91</f>
        <v>26752003.83172115</v>
      </c>
      <c r="D91" s="85">
        <f>SUM(E91:P91)+S91</f>
        <v>26752003.831111427</v>
      </c>
      <c r="E91" s="87">
        <f t="shared" si="27"/>
        <v>2044734.3667829444</v>
      </c>
      <c r="F91" s="87">
        <f t="shared" si="27"/>
        <v>2162458.506021468</v>
      </c>
      <c r="G91" s="87">
        <f t="shared" si="27"/>
        <v>2746138.0697646537</v>
      </c>
      <c r="H91" s="87">
        <f t="shared" si="27"/>
        <v>2083896.819721203</v>
      </c>
      <c r="I91" s="87">
        <f t="shared" si="27"/>
        <v>2048282.596736574</v>
      </c>
      <c r="J91" s="87">
        <f t="shared" si="27"/>
        <v>3520824.021378541</v>
      </c>
      <c r="K91" s="87">
        <f t="shared" si="27"/>
        <v>2022449.2241635134</v>
      </c>
      <c r="L91" s="87">
        <f t="shared" si="27"/>
        <v>1766700.7597358406</v>
      </c>
      <c r="M91" s="87">
        <f t="shared" si="27"/>
        <v>2960577.3170239767</v>
      </c>
      <c r="N91" s="87">
        <f t="shared" si="27"/>
        <v>2230521.995420539</v>
      </c>
      <c r="O91" s="87">
        <f t="shared" si="27"/>
        <v>3165420.1543621714</v>
      </c>
      <c r="P91" s="93">
        <f t="shared" si="27"/>
        <v>0</v>
      </c>
      <c r="S91" s="425">
        <f t="shared" si="27"/>
        <v>0</v>
      </c>
    </row>
    <row r="92" spans="1:19" s="84" customFormat="1" ht="15" hidden="1" outlineLevel="2">
      <c r="A92" s="96" t="s">
        <v>70</v>
      </c>
      <c r="B92" s="569">
        <v>0.9246735018742619</v>
      </c>
      <c r="C92" s="570">
        <f t="shared" si="27"/>
        <v>540242271.8395597</v>
      </c>
      <c r="D92" s="85">
        <f>SUM(E92:P92)+S92</f>
        <v>540242271.8272467</v>
      </c>
      <c r="E92" s="98">
        <f t="shared" si="27"/>
        <v>41292306.421898834</v>
      </c>
      <c r="F92" s="98">
        <f t="shared" si="27"/>
        <v>43669681.845162034</v>
      </c>
      <c r="G92" s="98">
        <f t="shared" si="27"/>
        <v>55456775.459773496</v>
      </c>
      <c r="H92" s="98">
        <f t="shared" si="27"/>
        <v>42083171.01205292</v>
      </c>
      <c r="I92" s="98">
        <f t="shared" si="27"/>
        <v>41363961.00983984</v>
      </c>
      <c r="J92" s="98">
        <f t="shared" si="27"/>
        <v>71101139.93784001</v>
      </c>
      <c r="K92" s="98">
        <f t="shared" si="27"/>
        <v>40842270.00022659</v>
      </c>
      <c r="L92" s="98">
        <f t="shared" si="27"/>
        <v>35677567.86011795</v>
      </c>
      <c r="M92" s="98">
        <f t="shared" si="27"/>
        <v>59787260.26531071</v>
      </c>
      <c r="N92" s="98">
        <f t="shared" si="27"/>
        <v>45044187.26066593</v>
      </c>
      <c r="O92" s="98">
        <f t="shared" si="27"/>
        <v>63923950.75435837</v>
      </c>
      <c r="P92" s="99">
        <f t="shared" si="27"/>
        <v>0</v>
      </c>
      <c r="S92" s="426">
        <f t="shared" si="27"/>
        <v>0</v>
      </c>
    </row>
    <row r="93" spans="1:19" s="84" customFormat="1" ht="15" hidden="1" outlineLevel="2">
      <c r="A93" s="531" t="s">
        <v>76</v>
      </c>
      <c r="B93" s="571">
        <f>SUM(B90:B92)</f>
        <v>1</v>
      </c>
      <c r="C93" s="572">
        <f>SUM(C90:C92)</f>
        <v>584251923.2404937</v>
      </c>
      <c r="D93" s="100">
        <f aca="true" t="shared" si="28" ref="D93:S93">SUM(D90:D92)</f>
        <v>584251923.2271776</v>
      </c>
      <c r="E93" s="100">
        <f t="shared" si="28"/>
        <v>44656093.57054314</v>
      </c>
      <c r="F93" s="100">
        <f t="shared" si="28"/>
        <v>47227136.66677591</v>
      </c>
      <c r="G93" s="100">
        <f t="shared" si="28"/>
        <v>59974440.00219071</v>
      </c>
      <c r="H93" s="100">
        <f t="shared" si="28"/>
        <v>45511384.20940221</v>
      </c>
      <c r="I93" s="100">
        <f t="shared" si="28"/>
        <v>44733585.34228286</v>
      </c>
      <c r="J93" s="100">
        <f t="shared" si="28"/>
        <v>76893238.30922152</v>
      </c>
      <c r="K93" s="100">
        <f t="shared" si="28"/>
        <v>44169395.919145055</v>
      </c>
      <c r="L93" s="100">
        <f t="shared" si="28"/>
        <v>38583962.65038578</v>
      </c>
      <c r="M93" s="100">
        <f t="shared" si="28"/>
        <v>64657698.25146417</v>
      </c>
      <c r="N93" s="100">
        <f t="shared" si="28"/>
        <v>48713613.15033238</v>
      </c>
      <c r="O93" s="100">
        <f t="shared" si="28"/>
        <v>69131375.15543386</v>
      </c>
      <c r="P93" s="101">
        <f t="shared" si="28"/>
        <v>0</v>
      </c>
      <c r="S93" s="427">
        <f t="shared" si="28"/>
        <v>0</v>
      </c>
    </row>
    <row r="94" spans="1:19" ht="15.75" hidden="1" outlineLevel="1" collapsed="1" thickBot="1">
      <c r="A94" s="532" t="s">
        <v>67</v>
      </c>
      <c r="B94" s="573">
        <v>0.2518418063468525</v>
      </c>
      <c r="C94" s="574">
        <f>$C$86*B94</f>
        <v>196668379.70730484</v>
      </c>
      <c r="D94" s="76">
        <f>SUM(E94:P94)+S94</f>
        <v>196668379.70282245</v>
      </c>
      <c r="E94" s="77">
        <f aca="true" t="shared" si="29" ref="E94:S94">E$86*$B94</f>
        <v>15031942.929456864</v>
      </c>
      <c r="F94" s="77">
        <f t="shared" si="29"/>
        <v>15897396.443224099</v>
      </c>
      <c r="G94" s="77">
        <f t="shared" si="29"/>
        <v>20188339.0878093</v>
      </c>
      <c r="H94" s="77">
        <f t="shared" si="29"/>
        <v>15319847.20059779</v>
      </c>
      <c r="I94" s="77">
        <f t="shared" si="29"/>
        <v>15058027.877717145</v>
      </c>
      <c r="J94" s="77">
        <f t="shared" si="29"/>
        <v>25883472.50077848</v>
      </c>
      <c r="K94" s="77">
        <f t="shared" si="29"/>
        <v>14868112.850854946</v>
      </c>
      <c r="L94" s="77">
        <f t="shared" si="29"/>
        <v>12987968.229614222</v>
      </c>
      <c r="M94" s="77">
        <f t="shared" si="29"/>
        <v>21764797.41853584</v>
      </c>
      <c r="N94" s="77">
        <f t="shared" si="29"/>
        <v>16397767.789667621</v>
      </c>
      <c r="O94" s="77">
        <f t="shared" si="29"/>
        <v>23270707.37456614</v>
      </c>
      <c r="P94" s="78">
        <f t="shared" si="29"/>
        <v>0</v>
      </c>
      <c r="S94" s="423">
        <f t="shared" si="29"/>
        <v>0</v>
      </c>
    </row>
    <row r="95" spans="1:19" ht="15.75" hidden="1" outlineLevel="1" thickBot="1">
      <c r="A95" s="533" t="s">
        <v>78</v>
      </c>
      <c r="B95" s="575">
        <f>B88+B94</f>
        <v>1</v>
      </c>
      <c r="C95" s="576">
        <f>+C88+C94</f>
        <v>780920302.9477985</v>
      </c>
      <c r="D95" s="70">
        <f>+D88+D94</f>
        <v>780920302.9300001</v>
      </c>
      <c r="E95" s="70">
        <f aca="true" t="shared" si="30" ref="E95:S95">+E88+E94</f>
        <v>59688036.5</v>
      </c>
      <c r="F95" s="70">
        <f t="shared" si="30"/>
        <v>63124533.11</v>
      </c>
      <c r="G95" s="70">
        <f t="shared" si="30"/>
        <v>80162779.09</v>
      </c>
      <c r="H95" s="70">
        <f t="shared" si="30"/>
        <v>60831231.41</v>
      </c>
      <c r="I95" s="70">
        <f t="shared" si="30"/>
        <v>59791613.22</v>
      </c>
      <c r="J95" s="70">
        <f t="shared" si="30"/>
        <v>102776710.81</v>
      </c>
      <c r="K95" s="70">
        <f t="shared" si="30"/>
        <v>59037508.77</v>
      </c>
      <c r="L95" s="70">
        <f t="shared" si="30"/>
        <v>51571930.88</v>
      </c>
      <c r="M95" s="70">
        <f t="shared" si="30"/>
        <v>86422495.67</v>
      </c>
      <c r="N95" s="70">
        <f t="shared" si="30"/>
        <v>65111380.94</v>
      </c>
      <c r="O95" s="70">
        <f t="shared" si="30"/>
        <v>92402082.53</v>
      </c>
      <c r="P95" s="81">
        <f t="shared" si="30"/>
        <v>0</v>
      </c>
      <c r="S95" s="428">
        <f t="shared" si="30"/>
        <v>0</v>
      </c>
    </row>
    <row r="96" spans="1:19" ht="15.75" collapsed="1" thickBot="1">
      <c r="A96" s="519" t="s">
        <v>79</v>
      </c>
      <c r="B96" s="577">
        <f>B80+B86</f>
        <v>1</v>
      </c>
      <c r="C96" s="578">
        <f>C80+C86</f>
        <v>959396000</v>
      </c>
      <c r="D96" s="59">
        <f aca="true" t="shared" si="31" ref="D96:P96">D80+D86</f>
        <v>959395999.9999998</v>
      </c>
      <c r="E96" s="82">
        <f t="shared" si="31"/>
        <v>73329459.17</v>
      </c>
      <c r="F96" s="82">
        <f t="shared" si="31"/>
        <v>77551351.07</v>
      </c>
      <c r="G96" s="82">
        <f t="shared" si="31"/>
        <v>98483608.79</v>
      </c>
      <c r="H96" s="82">
        <f t="shared" si="31"/>
        <v>74733925.94999999</v>
      </c>
      <c r="I96" s="82">
        <f t="shared" si="31"/>
        <v>73456707.86</v>
      </c>
      <c r="J96" s="82">
        <f t="shared" si="31"/>
        <v>126265849.24000001</v>
      </c>
      <c r="K96" s="82">
        <f t="shared" si="31"/>
        <v>72530256.35000001</v>
      </c>
      <c r="L96" s="82">
        <f t="shared" si="31"/>
        <v>63358455.42</v>
      </c>
      <c r="M96" s="82">
        <f t="shared" si="31"/>
        <v>106173954.43</v>
      </c>
      <c r="N96" s="82">
        <f t="shared" si="31"/>
        <v>79992283.71</v>
      </c>
      <c r="O96" s="82">
        <f t="shared" si="31"/>
        <v>113520148.01</v>
      </c>
      <c r="P96" s="83">
        <f t="shared" si="31"/>
        <v>0</v>
      </c>
      <c r="S96" s="429">
        <f>S80+S86</f>
        <v>0</v>
      </c>
    </row>
    <row r="98" spans="1:3" ht="15">
      <c r="A98" s="84" t="s">
        <v>47</v>
      </c>
      <c r="C98" s="580">
        <f>C7</f>
        <v>5104000</v>
      </c>
    </row>
    <row r="99" ht="15.75" thickBot="1">
      <c r="S99" s="60" t="s">
        <v>275</v>
      </c>
    </row>
    <row r="100" spans="1:19" ht="45.75" thickBot="1">
      <c r="A100" s="519" t="s">
        <v>145</v>
      </c>
      <c r="B100" s="581" t="s">
        <v>146</v>
      </c>
      <c r="C100" s="581" t="s">
        <v>39</v>
      </c>
      <c r="D100" s="57" t="str">
        <f>D3</f>
        <v>RECEIPTS THROUGH JULY</v>
      </c>
      <c r="E100" s="27" t="s">
        <v>7</v>
      </c>
      <c r="F100" s="27" t="s">
        <v>8</v>
      </c>
      <c r="G100" s="27" t="s">
        <v>9</v>
      </c>
      <c r="H100" s="27" t="s">
        <v>10</v>
      </c>
      <c r="I100" s="27" t="s">
        <v>11</v>
      </c>
      <c r="J100" s="27" t="s">
        <v>12</v>
      </c>
      <c r="K100" s="27" t="s">
        <v>13</v>
      </c>
      <c r="L100" s="27" t="s">
        <v>14</v>
      </c>
      <c r="M100" s="27" t="s">
        <v>15</v>
      </c>
      <c r="N100" s="27" t="s">
        <v>16</v>
      </c>
      <c r="O100" s="27" t="s">
        <v>17</v>
      </c>
      <c r="P100" s="28" t="s">
        <v>18</v>
      </c>
      <c r="S100" s="414" t="s">
        <v>181</v>
      </c>
    </row>
    <row r="101" spans="1:19" ht="4.5" customHeight="1" thickBot="1">
      <c r="A101" s="520"/>
      <c r="B101" s="582"/>
      <c r="C101" s="582"/>
      <c r="D101" s="4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S101" s="415"/>
    </row>
    <row r="102" spans="1:19" ht="15">
      <c r="A102" s="522" t="s">
        <v>147</v>
      </c>
      <c r="B102" s="583">
        <f aca="true" t="shared" si="32" ref="B102:B107">+C102/C$108</f>
        <v>0.13473060344827587</v>
      </c>
      <c r="C102" s="491">
        <f>'County One Time Input-BASE'!B14</f>
        <v>687665</v>
      </c>
      <c r="D102" s="273">
        <f aca="true" t="shared" si="33" ref="D102:D107">SUM(E102:P102)</f>
        <v>687665</v>
      </c>
      <c r="E102" s="279">
        <f>E$7*$B102</f>
        <v>57305.416217564656</v>
      </c>
      <c r="F102" s="279">
        <f aca="true" t="shared" si="34" ref="F102:S102">F$7*$B102</f>
        <v>57305.416217564656</v>
      </c>
      <c r="G102" s="279">
        <f t="shared" si="34"/>
        <v>57305.416217564656</v>
      </c>
      <c r="H102" s="279">
        <f t="shared" si="34"/>
        <v>57305.416217564656</v>
      </c>
      <c r="I102" s="279">
        <f t="shared" si="34"/>
        <v>57305.416217564656</v>
      </c>
      <c r="J102" s="279">
        <f t="shared" si="34"/>
        <v>57305.416217564656</v>
      </c>
      <c r="K102" s="279">
        <f t="shared" si="34"/>
        <v>57305.416217564656</v>
      </c>
      <c r="L102" s="279">
        <f t="shared" si="34"/>
        <v>57305.416217564656</v>
      </c>
      <c r="M102" s="279">
        <f t="shared" si="34"/>
        <v>57305.416217564656</v>
      </c>
      <c r="N102" s="279">
        <f t="shared" si="34"/>
        <v>57305.416217564656</v>
      </c>
      <c r="O102" s="279">
        <f t="shared" si="34"/>
        <v>114610.83782435344</v>
      </c>
      <c r="P102" s="280">
        <f t="shared" si="34"/>
        <v>0</v>
      </c>
      <c r="S102" s="417">
        <f t="shared" si="34"/>
        <v>0</v>
      </c>
    </row>
    <row r="103" spans="1:19" ht="15">
      <c r="A103" s="522" t="s">
        <v>148</v>
      </c>
      <c r="B103" s="583">
        <f t="shared" si="32"/>
        <v>0.14272825235109718</v>
      </c>
      <c r="C103" s="491">
        <f>'County One Time Input-BASE'!B15</f>
        <v>728485</v>
      </c>
      <c r="D103" s="278">
        <f t="shared" si="33"/>
        <v>728484.9999999999</v>
      </c>
      <c r="E103" s="279">
        <f aca="true" t="shared" si="35" ref="E103:S107">E$7*$B103</f>
        <v>60707.082857572495</v>
      </c>
      <c r="F103" s="279">
        <f t="shared" si="35"/>
        <v>60707.082857572495</v>
      </c>
      <c r="G103" s="279">
        <f t="shared" si="35"/>
        <v>60707.082857572495</v>
      </c>
      <c r="H103" s="279">
        <f t="shared" si="35"/>
        <v>60707.082857572495</v>
      </c>
      <c r="I103" s="279">
        <f t="shared" si="35"/>
        <v>60707.082857572495</v>
      </c>
      <c r="J103" s="279">
        <f t="shared" si="35"/>
        <v>60707.082857572495</v>
      </c>
      <c r="K103" s="279">
        <f t="shared" si="35"/>
        <v>60707.082857572495</v>
      </c>
      <c r="L103" s="279">
        <f t="shared" si="35"/>
        <v>60707.082857572495</v>
      </c>
      <c r="M103" s="279">
        <f t="shared" si="35"/>
        <v>60707.082857572495</v>
      </c>
      <c r="N103" s="279">
        <f t="shared" si="35"/>
        <v>60707.082857572495</v>
      </c>
      <c r="O103" s="279">
        <f t="shared" si="35"/>
        <v>121414.17142427507</v>
      </c>
      <c r="P103" s="280">
        <f t="shared" si="35"/>
        <v>0</v>
      </c>
      <c r="S103" s="417">
        <f t="shared" si="35"/>
        <v>0</v>
      </c>
    </row>
    <row r="104" spans="1:19" ht="15">
      <c r="A104" s="522" t="s">
        <v>149</v>
      </c>
      <c r="B104" s="583">
        <f t="shared" si="32"/>
        <v>0.41780721003134796</v>
      </c>
      <c r="C104" s="491">
        <f>'County One Time Input-BASE'!B16</f>
        <v>2132488</v>
      </c>
      <c r="D104" s="278">
        <f t="shared" si="33"/>
        <v>2132487.9999999995</v>
      </c>
      <c r="E104" s="279">
        <f t="shared" si="35"/>
        <v>177707.33194064265</v>
      </c>
      <c r="F104" s="279">
        <f t="shared" si="35"/>
        <v>177707.33194064265</v>
      </c>
      <c r="G104" s="279">
        <f t="shared" si="35"/>
        <v>177707.33194064265</v>
      </c>
      <c r="H104" s="279">
        <f t="shared" si="35"/>
        <v>177707.33194064265</v>
      </c>
      <c r="I104" s="279">
        <f t="shared" si="35"/>
        <v>177707.33194064265</v>
      </c>
      <c r="J104" s="279">
        <f t="shared" si="35"/>
        <v>177707.33194064265</v>
      </c>
      <c r="K104" s="279">
        <f t="shared" si="35"/>
        <v>177707.33194064265</v>
      </c>
      <c r="L104" s="279">
        <f t="shared" si="35"/>
        <v>177707.33194064265</v>
      </c>
      <c r="M104" s="279">
        <f t="shared" si="35"/>
        <v>177707.33194064265</v>
      </c>
      <c r="N104" s="279">
        <f t="shared" si="35"/>
        <v>177707.33194064265</v>
      </c>
      <c r="O104" s="279">
        <f t="shared" si="35"/>
        <v>355414.68059357366</v>
      </c>
      <c r="P104" s="280">
        <f t="shared" si="35"/>
        <v>0</v>
      </c>
      <c r="S104" s="417">
        <f t="shared" si="35"/>
        <v>0</v>
      </c>
    </row>
    <row r="105" spans="1:19" ht="15">
      <c r="A105" s="522" t="s">
        <v>150</v>
      </c>
      <c r="B105" s="583">
        <f t="shared" si="32"/>
        <v>0.10853056426332289</v>
      </c>
      <c r="C105" s="491">
        <f>'County One Time Input-BASE'!B17</f>
        <v>553940</v>
      </c>
      <c r="D105" s="278">
        <f t="shared" si="33"/>
        <v>553939.9999999999</v>
      </c>
      <c r="E105" s="279">
        <f t="shared" si="35"/>
        <v>46161.66630489812</v>
      </c>
      <c r="F105" s="279">
        <f t="shared" si="35"/>
        <v>46161.66630489812</v>
      </c>
      <c r="G105" s="279">
        <f t="shared" si="35"/>
        <v>46161.66630489812</v>
      </c>
      <c r="H105" s="279">
        <f t="shared" si="35"/>
        <v>46161.66630489812</v>
      </c>
      <c r="I105" s="279">
        <f t="shared" si="35"/>
        <v>46161.66630489812</v>
      </c>
      <c r="J105" s="279">
        <f t="shared" si="35"/>
        <v>46161.66630489812</v>
      </c>
      <c r="K105" s="279">
        <f t="shared" si="35"/>
        <v>46161.66630489812</v>
      </c>
      <c r="L105" s="279">
        <f t="shared" si="35"/>
        <v>46161.66630489812</v>
      </c>
      <c r="M105" s="279">
        <f t="shared" si="35"/>
        <v>46161.66630489812</v>
      </c>
      <c r="N105" s="279">
        <f t="shared" si="35"/>
        <v>46161.66630489812</v>
      </c>
      <c r="O105" s="279">
        <f t="shared" si="35"/>
        <v>92323.3369510188</v>
      </c>
      <c r="P105" s="280">
        <f t="shared" si="35"/>
        <v>0</v>
      </c>
      <c r="S105" s="417">
        <f t="shared" si="35"/>
        <v>0</v>
      </c>
    </row>
    <row r="106" spans="1:19" ht="15">
      <c r="A106" s="522" t="s">
        <v>151</v>
      </c>
      <c r="B106" s="583">
        <f t="shared" si="32"/>
        <v>0.03571434169278997</v>
      </c>
      <c r="C106" s="491">
        <f>'County One Time Input-BASE'!B18</f>
        <v>182286</v>
      </c>
      <c r="D106" s="278">
        <f t="shared" si="33"/>
        <v>182286</v>
      </c>
      <c r="E106" s="279">
        <f t="shared" si="35"/>
        <v>15190.499880952195</v>
      </c>
      <c r="F106" s="279">
        <f t="shared" si="35"/>
        <v>15190.499880952195</v>
      </c>
      <c r="G106" s="279">
        <f t="shared" si="35"/>
        <v>15190.499880952195</v>
      </c>
      <c r="H106" s="279">
        <f t="shared" si="35"/>
        <v>15190.499880952195</v>
      </c>
      <c r="I106" s="279">
        <f t="shared" si="35"/>
        <v>15190.499880952195</v>
      </c>
      <c r="J106" s="279">
        <f t="shared" si="35"/>
        <v>15190.499880952195</v>
      </c>
      <c r="K106" s="279">
        <f t="shared" si="35"/>
        <v>15190.499880952195</v>
      </c>
      <c r="L106" s="279">
        <f t="shared" si="35"/>
        <v>15190.499880952195</v>
      </c>
      <c r="M106" s="279">
        <f t="shared" si="35"/>
        <v>15190.499880952195</v>
      </c>
      <c r="N106" s="279">
        <f t="shared" si="35"/>
        <v>15190.499880952195</v>
      </c>
      <c r="O106" s="279">
        <f t="shared" si="35"/>
        <v>30381.001190478055</v>
      </c>
      <c r="P106" s="280">
        <f t="shared" si="35"/>
        <v>0</v>
      </c>
      <c r="S106" s="417">
        <f t="shared" si="35"/>
        <v>0</v>
      </c>
    </row>
    <row r="107" spans="1:19" ht="15.75" thickBot="1">
      <c r="A107" s="522" t="s">
        <v>152</v>
      </c>
      <c r="B107" s="584">
        <f t="shared" si="32"/>
        <v>0.16048902821316616</v>
      </c>
      <c r="C107" s="491">
        <f>'County One Time Input-BASE'!B19</f>
        <v>819136</v>
      </c>
      <c r="D107" s="278">
        <f t="shared" si="33"/>
        <v>819136.0000000001</v>
      </c>
      <c r="E107" s="279">
        <f t="shared" si="35"/>
        <v>68261.33279836991</v>
      </c>
      <c r="F107" s="279">
        <f t="shared" si="35"/>
        <v>68261.33279836991</v>
      </c>
      <c r="G107" s="279">
        <f t="shared" si="35"/>
        <v>68261.33279836991</v>
      </c>
      <c r="H107" s="279">
        <f t="shared" si="35"/>
        <v>68261.33279836991</v>
      </c>
      <c r="I107" s="279">
        <f t="shared" si="35"/>
        <v>68261.33279836991</v>
      </c>
      <c r="J107" s="279">
        <f t="shared" si="35"/>
        <v>68261.33279836991</v>
      </c>
      <c r="K107" s="279">
        <f t="shared" si="35"/>
        <v>68261.33279836991</v>
      </c>
      <c r="L107" s="279">
        <f t="shared" si="35"/>
        <v>68261.33279836991</v>
      </c>
      <c r="M107" s="279">
        <f t="shared" si="35"/>
        <v>68261.33279836991</v>
      </c>
      <c r="N107" s="279">
        <f t="shared" si="35"/>
        <v>68261.33279836991</v>
      </c>
      <c r="O107" s="279">
        <f t="shared" si="35"/>
        <v>136522.67201630093</v>
      </c>
      <c r="P107" s="280">
        <f t="shared" si="35"/>
        <v>0</v>
      </c>
      <c r="S107" s="417">
        <f t="shared" si="35"/>
        <v>0</v>
      </c>
    </row>
    <row r="108" spans="1:19" ht="15.75" collapsed="1" thickBot="1">
      <c r="A108" s="519" t="s">
        <v>153</v>
      </c>
      <c r="B108" s="577">
        <f>SUM(B102:B107)</f>
        <v>1</v>
      </c>
      <c r="C108" s="578">
        <f>SUM(C102:C107)</f>
        <v>5104000</v>
      </c>
      <c r="D108" s="59">
        <f>SUM(D102:D107)</f>
        <v>5104000</v>
      </c>
      <c r="E108" s="82">
        <f>SUM(E102:E107)</f>
        <v>425333.33</v>
      </c>
      <c r="F108" s="82">
        <f aca="true" t="shared" si="36" ref="F108:S108">SUM(F102:F107)</f>
        <v>425333.33</v>
      </c>
      <c r="G108" s="82">
        <f t="shared" si="36"/>
        <v>425333.33</v>
      </c>
      <c r="H108" s="82">
        <f t="shared" si="36"/>
        <v>425333.33</v>
      </c>
      <c r="I108" s="82">
        <f t="shared" si="36"/>
        <v>425333.33</v>
      </c>
      <c r="J108" s="82">
        <f t="shared" si="36"/>
        <v>425333.33</v>
      </c>
      <c r="K108" s="82">
        <f t="shared" si="36"/>
        <v>425333.33</v>
      </c>
      <c r="L108" s="82">
        <f t="shared" si="36"/>
        <v>425333.33</v>
      </c>
      <c r="M108" s="82">
        <f t="shared" si="36"/>
        <v>425333.33</v>
      </c>
      <c r="N108" s="82">
        <f t="shared" si="36"/>
        <v>425333.33</v>
      </c>
      <c r="O108" s="82">
        <f t="shared" si="36"/>
        <v>850666.7000000001</v>
      </c>
      <c r="P108" s="83">
        <f t="shared" si="36"/>
        <v>0</v>
      </c>
      <c r="S108" s="429">
        <f t="shared" si="36"/>
        <v>0</v>
      </c>
    </row>
  </sheetData>
  <sheetProtection/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14" r:id="rId2" display="TRIAL COURT SECURITY"/>
    <hyperlink ref="A6:A7" r:id="rId3" display="PROTECTIVE SERVICES"/>
    <hyperlink ref="A15:A17" r:id="rId4" display="TRIAL COURT SECURITY"/>
  </hyperlinks>
  <printOptions/>
  <pageMargins left="0.5" right="0.5" top="0.5" bottom="0.5" header="0.25" footer="0"/>
  <pageSetup fitToHeight="2" fitToWidth="1" horizontalDpi="600" verticalDpi="600" orientation="landscape" paperSize="5" scale="61" r:id="rId5"/>
  <headerFooter alignWithMargins="0">
    <oddHeader>&amp;C&amp;"Calibri,Bold"&amp;14&amp;A</oddHeader>
    <oddFooter>&amp;L&amp;Z&amp;F &amp;A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G1">
      <selection activeCell="S14" sqref="S14"/>
    </sheetView>
  </sheetViews>
  <sheetFormatPr defaultColWidth="9.140625" defaultRowHeight="15" outlineLevelRow="2"/>
  <cols>
    <col min="1" max="1" width="30.140625" style="0" customWidth="1"/>
    <col min="2" max="3" width="16.140625" style="0" customWidth="1"/>
    <col min="4" max="4" width="17.421875" style="0" bestFit="1" customWidth="1"/>
    <col min="5" max="5" width="13.7109375" style="0" bestFit="1" customWidth="1"/>
    <col min="6" max="7" width="12.7109375" style="0" customWidth="1"/>
    <col min="8" max="8" width="13.7109375" style="0" bestFit="1" customWidth="1"/>
    <col min="9" max="16" width="12.7109375" style="0" customWidth="1"/>
    <col min="19" max="19" width="12.57421875" style="0" bestFit="1" customWidth="1"/>
  </cols>
  <sheetData>
    <row r="1" spans="1:19" ht="16.5" thickBot="1">
      <c r="A1" s="23" t="s">
        <v>19</v>
      </c>
      <c r="D1" s="255" t="str">
        <f>'Monthly Receipts Input'!D1</f>
        <v>JULY</v>
      </c>
      <c r="G1" s="24" t="s">
        <v>94</v>
      </c>
      <c r="Q1" s="378" t="s">
        <v>166</v>
      </c>
      <c r="R1" s="378"/>
      <c r="S1" s="442">
        <f>'Monthly Receipts Input'!S1</f>
        <v>0</v>
      </c>
    </row>
    <row r="2" ht="15.75" thickBot="1">
      <c r="R2" s="457">
        <f>'County One Time Input-GROWTH'!C6</f>
        <v>0.65</v>
      </c>
    </row>
    <row r="3" spans="1:19" s="29" customFormat="1" ht="30.75" thickBot="1">
      <c r="A3" s="249" t="s">
        <v>21</v>
      </c>
      <c r="B3" s="250" t="s">
        <v>42</v>
      </c>
      <c r="C3" s="250" t="s">
        <v>22</v>
      </c>
      <c r="D3" s="251" t="str">
        <f>CONCATENATE("RECEIPTS THROUGH"," ",D1)</f>
        <v>RECEIPTS THROUGH JULY</v>
      </c>
      <c r="E3" s="252" t="s">
        <v>7</v>
      </c>
      <c r="F3" s="252" t="s">
        <v>8</v>
      </c>
      <c r="G3" s="252" t="s">
        <v>9</v>
      </c>
      <c r="H3" s="252" t="s">
        <v>10</v>
      </c>
      <c r="I3" s="252" t="s">
        <v>11</v>
      </c>
      <c r="J3" s="252" t="s">
        <v>12</v>
      </c>
      <c r="K3" s="252" t="s">
        <v>13</v>
      </c>
      <c r="L3" s="252" t="s">
        <v>14</v>
      </c>
      <c r="M3" s="252" t="s">
        <v>15</v>
      </c>
      <c r="N3" s="252" t="s">
        <v>16</v>
      </c>
      <c r="O3" s="252" t="s">
        <v>17</v>
      </c>
      <c r="P3" s="253" t="s">
        <v>18</v>
      </c>
      <c r="R3" s="441" t="s">
        <v>184</v>
      </c>
      <c r="S3" s="441" t="s">
        <v>182</v>
      </c>
    </row>
    <row r="4" spans="1:19" ht="5.25" customHeight="1" thickBot="1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410"/>
      <c r="S4" s="410"/>
    </row>
    <row r="5" spans="1:19" ht="15">
      <c r="A5" s="112" t="s">
        <v>83</v>
      </c>
      <c r="B5" s="8">
        <f>'County One Time Input-BASE'!C11</f>
        <v>0.6297362662674191</v>
      </c>
      <c r="C5" s="34">
        <f>'County One Time Input-BASE'!B11</f>
        <v>1640400000</v>
      </c>
      <c r="D5" s="35">
        <f>SUM(E5:P5)+S5</f>
        <v>1640400000</v>
      </c>
      <c r="E5" s="158">
        <f>'Monthly Receipts Input'!E5</f>
        <v>125440356.11</v>
      </c>
      <c r="F5" s="158">
        <f>'Monthly Receipts Input'!F5</f>
        <v>132620847.09</v>
      </c>
      <c r="G5" s="158">
        <f>'Monthly Receipts Input'!G5</f>
        <v>168221921.6</v>
      </c>
      <c r="H5" s="158">
        <f>'Monthly Receipts Input'!H5</f>
        <v>127829039.01</v>
      </c>
      <c r="I5" s="158">
        <f>'Monthly Receipts Input'!I5</f>
        <v>125656777.58</v>
      </c>
      <c r="J5" s="158">
        <f>'Monthly Receipts Input'!J5</f>
        <v>215473280</v>
      </c>
      <c r="K5" s="158">
        <f>'Monthly Receipts Input'!K5</f>
        <v>124081091.4</v>
      </c>
      <c r="L5" s="158">
        <f>'Monthly Receipts Input'!L5</f>
        <v>108481915.58</v>
      </c>
      <c r="M5" s="158">
        <f>'Monthly Receipts Input'!M5</f>
        <v>181301474.29</v>
      </c>
      <c r="N5" s="158">
        <f>'Monthly Receipts Input'!N5</f>
        <v>136772325.92</v>
      </c>
      <c r="O5" s="158">
        <f>'Monthly Receipts Input'!O5</f>
        <v>194520971.42</v>
      </c>
      <c r="P5" s="159">
        <f>'Monthly Receipts Input'!P5</f>
        <v>0</v>
      </c>
      <c r="R5" s="459">
        <f>'Monthly Receipts Input'!R5</f>
        <v>0.8203</v>
      </c>
      <c r="S5" s="443">
        <f>'Monthly Receipts Input'!S5</f>
        <v>0</v>
      </c>
    </row>
    <row r="6" spans="1:19" ht="15">
      <c r="A6" s="113" t="s">
        <v>84</v>
      </c>
      <c r="B6" s="8">
        <f>'County One Time Input-BASE'!C12</f>
        <v>0.36830434949518215</v>
      </c>
      <c r="C6" s="34">
        <f>'County One Time Input-BASE'!B12</f>
        <v>959396000</v>
      </c>
      <c r="D6" s="36">
        <f>SUM(E6:P6)+S6</f>
        <v>959396000</v>
      </c>
      <c r="E6" s="158">
        <f>'Monthly Receipts Input'!E6</f>
        <v>73329459.17</v>
      </c>
      <c r="F6" s="158">
        <f>'Monthly Receipts Input'!F6</f>
        <v>77551351.07</v>
      </c>
      <c r="G6" s="158">
        <f>'Monthly Receipts Input'!G6</f>
        <v>98483608.79</v>
      </c>
      <c r="H6" s="158">
        <f>'Monthly Receipts Input'!H6</f>
        <v>74733925.95</v>
      </c>
      <c r="I6" s="158">
        <f>'Monthly Receipts Input'!I6</f>
        <v>73456707.86</v>
      </c>
      <c r="J6" s="158">
        <f>'Monthly Receipts Input'!J6</f>
        <v>126265849.24</v>
      </c>
      <c r="K6" s="158">
        <f>'Monthly Receipts Input'!K6</f>
        <v>72530256.35</v>
      </c>
      <c r="L6" s="158">
        <f>'Monthly Receipts Input'!L6</f>
        <v>63358455.42</v>
      </c>
      <c r="M6" s="158">
        <f>'Monthly Receipts Input'!M6</f>
        <v>106173954.43</v>
      </c>
      <c r="N6" s="158">
        <f>'Monthly Receipts Input'!N6</f>
        <v>79992283.71</v>
      </c>
      <c r="O6" s="158">
        <f>'Monthly Receipts Input'!O6</f>
        <v>113520148.01</v>
      </c>
      <c r="P6" s="159">
        <f>'Monthly Receipts Input'!P6</f>
        <v>0</v>
      </c>
      <c r="R6" s="459">
        <f>'Monthly Receipts Input'!R6</f>
        <v>0.1297</v>
      </c>
      <c r="S6" s="444">
        <f>'Monthly Receipts Input'!S6</f>
        <v>0</v>
      </c>
    </row>
    <row r="7" spans="1:19" ht="15.75" thickBot="1">
      <c r="A7" s="114" t="s">
        <v>88</v>
      </c>
      <c r="B7" s="8">
        <f>'County One Time Input-BASE'!C13</f>
        <v>0.0019593842373987484</v>
      </c>
      <c r="C7" s="34">
        <f>'County One Time Input-BASE'!B13</f>
        <v>5104000</v>
      </c>
      <c r="D7" s="49">
        <f>SUM(E7:P7)+S7</f>
        <v>5104000</v>
      </c>
      <c r="E7" s="158">
        <f>'Monthly Receipts Input'!E7</f>
        <v>425333.33</v>
      </c>
      <c r="F7" s="158">
        <f>'Monthly Receipts Input'!F7</f>
        <v>425333.33</v>
      </c>
      <c r="G7" s="158">
        <f>'Monthly Receipts Input'!G7</f>
        <v>425333.33</v>
      </c>
      <c r="H7" s="158">
        <f>'Monthly Receipts Input'!H7</f>
        <v>425333.33</v>
      </c>
      <c r="I7" s="158">
        <f>'Monthly Receipts Input'!I7</f>
        <v>425333.33</v>
      </c>
      <c r="J7" s="158">
        <f>'Monthly Receipts Input'!J7</f>
        <v>425333.33</v>
      </c>
      <c r="K7" s="158">
        <f>'Monthly Receipts Input'!K7</f>
        <v>425333.33</v>
      </c>
      <c r="L7" s="158">
        <f>'Monthly Receipts Input'!L7</f>
        <v>425333.33</v>
      </c>
      <c r="M7" s="158">
        <f>'Monthly Receipts Input'!M7</f>
        <v>425333.33</v>
      </c>
      <c r="N7" s="158">
        <f>'Monthly Receipts Input'!N7</f>
        <v>425333.33</v>
      </c>
      <c r="O7" s="158">
        <f>'Monthly Receipts Input'!O7</f>
        <v>850666.7</v>
      </c>
      <c r="P7" s="159">
        <f>'Monthly Receipts Input'!P7</f>
        <v>0</v>
      </c>
      <c r="R7" s="460">
        <f>'Monthly Receipts Input'!R7</f>
        <v>0</v>
      </c>
      <c r="S7" s="445">
        <f>'Monthly Receipts Input'!S7</f>
        <v>0</v>
      </c>
    </row>
    <row r="8" spans="1:19" ht="15.75" thickBot="1">
      <c r="A8" s="50" t="s">
        <v>24</v>
      </c>
      <c r="B8" s="51">
        <f>SUM(B5:B7)</f>
        <v>0.9999999999999999</v>
      </c>
      <c r="C8" s="52">
        <f>SUM(C5:C7)</f>
        <v>2604900000</v>
      </c>
      <c r="D8" s="103">
        <f>SUM(E8:P8)+S8</f>
        <v>2604900000</v>
      </c>
      <c r="E8" s="53">
        <f aca="true" t="shared" si="0" ref="E8:P8">SUM(E5:E7)</f>
        <v>199195148.61</v>
      </c>
      <c r="F8" s="53">
        <f t="shared" si="0"/>
        <v>210597531.49</v>
      </c>
      <c r="G8" s="53">
        <f t="shared" si="0"/>
        <v>267130863.72</v>
      </c>
      <c r="H8" s="53">
        <f t="shared" si="0"/>
        <v>202988298.29000002</v>
      </c>
      <c r="I8" s="53">
        <f t="shared" si="0"/>
        <v>199538818.77</v>
      </c>
      <c r="J8" s="53">
        <f t="shared" si="0"/>
        <v>342164462.57</v>
      </c>
      <c r="K8" s="53">
        <f t="shared" si="0"/>
        <v>197036681.08</v>
      </c>
      <c r="L8" s="53">
        <f t="shared" si="0"/>
        <v>172265704.33</v>
      </c>
      <c r="M8" s="53">
        <f t="shared" si="0"/>
        <v>287900762.05</v>
      </c>
      <c r="N8" s="53">
        <f t="shared" si="0"/>
        <v>217189942.96</v>
      </c>
      <c r="O8" s="53">
        <f t="shared" si="0"/>
        <v>308891786.13</v>
      </c>
      <c r="P8" s="54">
        <f t="shared" si="0"/>
        <v>0</v>
      </c>
      <c r="R8" s="458"/>
      <c r="S8" s="446">
        <f>SUM(S5:S7)</f>
        <v>0</v>
      </c>
    </row>
    <row r="9" spans="1:16" ht="15">
      <c r="A9" s="107"/>
      <c r="B9" s="108"/>
      <c r="C9" s="109"/>
      <c r="D9" s="126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ht="15">
      <c r="A10" s="107"/>
      <c r="B10" s="108"/>
      <c r="C10" s="109"/>
      <c r="D10" s="126"/>
      <c r="E10" s="111"/>
      <c r="F10" s="111"/>
      <c r="G10" s="24" t="str">
        <f>CONCATENATE('County One Time Input-BASE'!C2," County Receipts - SUPPORT SERVICES ACCOUNT")</f>
        <v>San Mateo County Receipts - SUPPORT SERVICES ACCOUNT</v>
      </c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ht="15.75" thickBot="1">
      <c r="A11" s="107"/>
      <c r="B11" s="108"/>
      <c r="C11" s="109"/>
      <c r="D11" s="132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9" s="29" customFormat="1" ht="45.75" thickBot="1">
      <c r="A12" s="25" t="s">
        <v>21</v>
      </c>
      <c r="B12" s="26" t="str">
        <f>CONCATENATE('County One Time Input-BASE'!C2," County % Distribution")</f>
        <v>San Mateo County % Distribution</v>
      </c>
      <c r="C12" s="26" t="str">
        <f>CONCATENATE('County One Time Input-BASE'!C2," County Portion")</f>
        <v>San Mateo County Portion</v>
      </c>
      <c r="D12" s="58" t="str">
        <f>CONCATENATE("RECEIPTS THROUGH"," ",D1)</f>
        <v>RECEIPTS THROUGH JULY</v>
      </c>
      <c r="E12" s="27" t="s">
        <v>7</v>
      </c>
      <c r="F12" s="27" t="s">
        <v>8</v>
      </c>
      <c r="G12" s="27" t="s">
        <v>9</v>
      </c>
      <c r="H12" s="27" t="s">
        <v>10</v>
      </c>
      <c r="I12" s="27" t="s">
        <v>11</v>
      </c>
      <c r="J12" s="27" t="s">
        <v>12</v>
      </c>
      <c r="K12" s="27" t="s">
        <v>13</v>
      </c>
      <c r="L12" s="27" t="s">
        <v>14</v>
      </c>
      <c r="M12" s="27" t="s">
        <v>15</v>
      </c>
      <c r="N12" s="27" t="s">
        <v>16</v>
      </c>
      <c r="O12" s="27" t="s">
        <v>17</v>
      </c>
      <c r="P12" s="28" t="s">
        <v>18</v>
      </c>
      <c r="R12" s="441" t="s">
        <v>184</v>
      </c>
      <c r="S12" s="441" t="s">
        <v>182</v>
      </c>
    </row>
    <row r="13" spans="1:19" ht="5.25" customHeight="1" thickBot="1">
      <c r="A13" s="115"/>
      <c r="B13" s="116"/>
      <c r="C13" s="117"/>
      <c r="D13" s="115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R13" s="410"/>
      <c r="S13" s="410"/>
    </row>
    <row r="14" spans="1:19" ht="15">
      <c r="A14" s="144" t="s">
        <v>83</v>
      </c>
      <c r="B14" s="8">
        <f>'County One Time Input-BASE'!F11</f>
        <v>0.0097324309</v>
      </c>
      <c r="C14" s="141">
        <f>C5*B14</f>
        <v>15965079.64836</v>
      </c>
      <c r="D14" s="35">
        <f>SUM(E14:P14)+S14</f>
        <v>15965079.64836</v>
      </c>
      <c r="E14" s="152">
        <f>E5*$B$14</f>
        <v>1220839.597911968</v>
      </c>
      <c r="F14" s="152">
        <f aca="true" t="shared" si="1" ref="F14:P14">F5*$B$14</f>
        <v>1290723.2302028912</v>
      </c>
      <c r="G14" s="152">
        <f t="shared" si="1"/>
        <v>1637208.2278372175</v>
      </c>
      <c r="H14" s="152">
        <f t="shared" si="1"/>
        <v>1244087.2891782294</v>
      </c>
      <c r="I14" s="152">
        <f>SUM(I5*$B$14)</f>
        <v>1222945.9049140192</v>
      </c>
      <c r="J14" s="152">
        <f t="shared" si="1"/>
        <v>2097078.808396352</v>
      </c>
      <c r="K14" s="152">
        <f t="shared" si="1"/>
        <v>1207610.6480470842</v>
      </c>
      <c r="L14" s="152">
        <f t="shared" si="1"/>
        <v>1055792.7472819835</v>
      </c>
      <c r="M14" s="152">
        <f t="shared" si="1"/>
        <v>1764504.0705955515</v>
      </c>
      <c r="N14" s="152">
        <f t="shared" si="1"/>
        <v>1331127.2110486787</v>
      </c>
      <c r="O14" s="152">
        <f t="shared" si="1"/>
        <v>1893161.9129460247</v>
      </c>
      <c r="P14" s="153">
        <f t="shared" si="1"/>
        <v>0</v>
      </c>
      <c r="R14" s="459">
        <f>'County One Time Input-GROWTH'!F10</f>
        <v>0.0110072578</v>
      </c>
      <c r="S14" s="153">
        <f>S5*$R$14</f>
        <v>0</v>
      </c>
    </row>
    <row r="15" spans="1:19" ht="15">
      <c r="A15" s="113" t="s">
        <v>84</v>
      </c>
      <c r="B15" s="8">
        <f>'County One Time Input-BASE'!F12</f>
        <v>0.008039011364921843</v>
      </c>
      <c r="C15" s="34">
        <f>C6*B15</f>
        <v>7712595.347460557</v>
      </c>
      <c r="D15" s="36">
        <f>SUM(E15:P15)+S15</f>
        <v>7712595.347460556</v>
      </c>
      <c r="E15" s="154">
        <f>E6*$B$15</f>
        <v>589496.3556512023</v>
      </c>
      <c r="F15" s="154">
        <f aca="true" t="shared" si="2" ref="F15:P15">F6*$B$15</f>
        <v>623436.1926167737</v>
      </c>
      <c r="G15" s="154">
        <f t="shared" si="2"/>
        <v>791710.8503213268</v>
      </c>
      <c r="H15" s="154">
        <f t="shared" si="2"/>
        <v>600786.8800572775</v>
      </c>
      <c r="I15" s="154">
        <f t="shared" si="2"/>
        <v>590519.3093162837</v>
      </c>
      <c r="J15" s="154">
        <f t="shared" si="2"/>
        <v>1015052.597041868</v>
      </c>
      <c r="K15" s="154">
        <f t="shared" si="2"/>
        <v>583071.5550983447</v>
      </c>
      <c r="L15" s="154">
        <f t="shared" si="2"/>
        <v>509339.343185274</v>
      </c>
      <c r="M15" s="154">
        <f t="shared" si="2"/>
        <v>853533.626321464</v>
      </c>
      <c r="N15" s="154">
        <f t="shared" si="2"/>
        <v>643058.8778507423</v>
      </c>
      <c r="O15" s="154">
        <f t="shared" si="2"/>
        <v>912589.7599999998</v>
      </c>
      <c r="P15" s="155">
        <f t="shared" si="2"/>
        <v>0</v>
      </c>
      <c r="R15" s="459">
        <f>'County One Time Input-GROWTH'!F12</f>
        <v>0.008039011364921843</v>
      </c>
      <c r="S15" s="155">
        <f>S6*$R$15</f>
        <v>0</v>
      </c>
    </row>
    <row r="16" spans="1:19" ht="15.75" thickBot="1">
      <c r="A16" s="142" t="s">
        <v>88</v>
      </c>
      <c r="B16" s="8">
        <f>'County One Time Input-BASE'!F13</f>
        <v>0</v>
      </c>
      <c r="C16" s="143">
        <f>C7*B16</f>
        <v>0</v>
      </c>
      <c r="D16" s="49">
        <f>SUM(E16:P16)+S16</f>
        <v>0</v>
      </c>
      <c r="E16" s="156">
        <f>E7*$B$16</f>
        <v>0</v>
      </c>
      <c r="F16" s="156">
        <f aca="true" t="shared" si="3" ref="F16:P16">F7*$B$16</f>
        <v>0</v>
      </c>
      <c r="G16" s="156">
        <f t="shared" si="3"/>
        <v>0</v>
      </c>
      <c r="H16" s="156">
        <f t="shared" si="3"/>
        <v>0</v>
      </c>
      <c r="I16" s="156">
        <f t="shared" si="3"/>
        <v>0</v>
      </c>
      <c r="J16" s="156">
        <f t="shared" si="3"/>
        <v>0</v>
      </c>
      <c r="K16" s="156">
        <f t="shared" si="3"/>
        <v>0</v>
      </c>
      <c r="L16" s="156">
        <f t="shared" si="3"/>
        <v>0</v>
      </c>
      <c r="M16" s="156">
        <f t="shared" si="3"/>
        <v>0</v>
      </c>
      <c r="N16" s="156">
        <f t="shared" si="3"/>
        <v>0</v>
      </c>
      <c r="O16" s="156">
        <f t="shared" si="3"/>
        <v>0</v>
      </c>
      <c r="P16" s="157">
        <f t="shared" si="3"/>
        <v>0</v>
      </c>
      <c r="R16" s="460">
        <f>0</f>
        <v>0</v>
      </c>
      <c r="S16" s="157">
        <f>S7*$B$16</f>
        <v>0</v>
      </c>
    </row>
    <row r="17" spans="1:19" ht="15.75" thickBot="1">
      <c r="A17" s="50" t="s">
        <v>109</v>
      </c>
      <c r="B17" s="51"/>
      <c r="C17" s="52">
        <f>SUM(C14:C16)</f>
        <v>23677674.99582056</v>
      </c>
      <c r="D17" s="103">
        <f>SUM(E17:P17)+S17</f>
        <v>23677674.99582056</v>
      </c>
      <c r="E17" s="53">
        <f aca="true" t="shared" si="4" ref="E17:P17">SUM(E14:E16)</f>
        <v>1810335.95356317</v>
      </c>
      <c r="F17" s="53">
        <f t="shared" si="4"/>
        <v>1914159.4228196647</v>
      </c>
      <c r="G17" s="53">
        <f t="shared" si="4"/>
        <v>2428919.0781585444</v>
      </c>
      <c r="H17" s="53">
        <f t="shared" si="4"/>
        <v>1844874.169235507</v>
      </c>
      <c r="I17" s="53">
        <f t="shared" si="4"/>
        <v>1813465.2142303027</v>
      </c>
      <c r="J17" s="53">
        <f t="shared" si="4"/>
        <v>3112131.40543822</v>
      </c>
      <c r="K17" s="53">
        <f t="shared" si="4"/>
        <v>1790682.203145429</v>
      </c>
      <c r="L17" s="53">
        <f t="shared" si="4"/>
        <v>1565132.0904672574</v>
      </c>
      <c r="M17" s="53">
        <f t="shared" si="4"/>
        <v>2618037.6969170156</v>
      </c>
      <c r="N17" s="53">
        <f t="shared" si="4"/>
        <v>1974186.088899421</v>
      </c>
      <c r="O17" s="53">
        <f t="shared" si="4"/>
        <v>2805751.6729460247</v>
      </c>
      <c r="P17" s="54">
        <f t="shared" si="4"/>
        <v>0</v>
      </c>
      <c r="R17" s="458"/>
      <c r="S17" s="446">
        <f>SUM(S14:S16)</f>
        <v>0</v>
      </c>
    </row>
    <row r="18" spans="1:16" ht="15">
      <c r="A18" s="107"/>
      <c r="B18" s="108"/>
      <c r="C18" s="109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3:8" ht="15">
      <c r="C19" s="60"/>
      <c r="H19" s="342"/>
    </row>
    <row r="20" spans="18:19" ht="15">
      <c r="R20" t="s">
        <v>247</v>
      </c>
      <c r="S20" s="489">
        <f>S$1*R$2*'County One Time Input-GROWTH'!C10*'County One Time Input-GROWTH'!F10</f>
        <v>0</v>
      </c>
    </row>
    <row r="21" spans="1:19" ht="15">
      <c r="A21" t="s">
        <v>40</v>
      </c>
      <c r="C21" s="39">
        <f>C14</f>
        <v>15965079.64836</v>
      </c>
      <c r="D21" s="39"/>
      <c r="G21" s="24" t="str">
        <f>CONCATENATE('County One Time Input-BASE'!C2," County Distribution - SUPPORT SERVICES ACCOUNT")</f>
        <v>San Mateo County Distribution - SUPPORT SERVICES ACCOUNT</v>
      </c>
      <c r="R21" t="s">
        <v>248</v>
      </c>
      <c r="S21" s="489">
        <f>S$1*R$2*'County One Time Input-GROWTH'!C11*'County One Time Input-GROWTH'!F11</f>
        <v>0</v>
      </c>
    </row>
    <row r="22" ht="15.75" thickBot="1"/>
    <row r="23" spans="1:19" ht="60.75" thickBot="1">
      <c r="A23" s="335" t="s">
        <v>37</v>
      </c>
      <c r="B23" s="334" t="str">
        <f>CONCATENATE('County One Time Input-BASE'!C2," County % DIST (PROG/TOT PS)")</f>
        <v>San Mateo County % DIST (PROG/TOT PS)</v>
      </c>
      <c r="C23" s="334" t="str">
        <f>CONCATENATE('County One Time Input-BASE'!C2," County Distribution to Programs")</f>
        <v>San Mateo County Distribution to Programs</v>
      </c>
      <c r="D23" s="57" t="str">
        <f>D3</f>
        <v>RECEIPTS THROUGH JULY</v>
      </c>
      <c r="E23" s="27" t="s">
        <v>7</v>
      </c>
      <c r="F23" s="27" t="s">
        <v>8</v>
      </c>
      <c r="G23" s="27" t="s">
        <v>9</v>
      </c>
      <c r="H23" s="27" t="s">
        <v>10</v>
      </c>
      <c r="I23" s="27" t="s">
        <v>11</v>
      </c>
      <c r="J23" s="27" t="s">
        <v>12</v>
      </c>
      <c r="K23" s="27" t="s">
        <v>13</v>
      </c>
      <c r="L23" s="27" t="s">
        <v>14</v>
      </c>
      <c r="M23" s="27" t="s">
        <v>15</v>
      </c>
      <c r="N23" s="27" t="s">
        <v>16</v>
      </c>
      <c r="O23" s="27" t="s">
        <v>17</v>
      </c>
      <c r="P23" s="28" t="s">
        <v>18</v>
      </c>
      <c r="R23" s="485"/>
      <c r="S23" s="414" t="s">
        <v>181</v>
      </c>
    </row>
    <row r="24" spans="1:19" ht="6" customHeight="1" thickBot="1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R24" s="486"/>
      <c r="S24" s="415"/>
    </row>
    <row r="25" spans="1:19" ht="15">
      <c r="A25" s="207" t="s">
        <v>32</v>
      </c>
      <c r="B25" s="271">
        <f>'County One Time Input-BASE'!F43</f>
        <v>0.1418001943</v>
      </c>
      <c r="C25" s="272">
        <f aca="true" t="shared" si="5" ref="C25:C30">B25*C$14</f>
        <v>2263851.3961524237</v>
      </c>
      <c r="D25" s="273">
        <f>SUM(E25:P25)+S25</f>
        <v>2263851.3961524237</v>
      </c>
      <c r="E25" s="274">
        <f>E$14*$B25</f>
        <v>173115.2921930509</v>
      </c>
      <c r="F25" s="274">
        <f aca="true" t="shared" si="6" ref="F25:P25">F$14*$B25</f>
        <v>183024.80483029358</v>
      </c>
      <c r="G25" s="274">
        <f t="shared" si="6"/>
        <v>232156.4448168761</v>
      </c>
      <c r="H25" s="274">
        <f t="shared" si="6"/>
        <v>176411.8193316332</v>
      </c>
      <c r="I25" s="274">
        <f t="shared" si="6"/>
        <v>173413.96693519724</v>
      </c>
      <c r="J25" s="274">
        <f t="shared" si="6"/>
        <v>297366.18249301513</v>
      </c>
      <c r="K25" s="274">
        <f t="shared" si="6"/>
        <v>171239.42453182544</v>
      </c>
      <c r="L25" s="274">
        <f t="shared" si="6"/>
        <v>149711.61670511603</v>
      </c>
      <c r="M25" s="274">
        <f t="shared" si="6"/>
        <v>250207.0200535901</v>
      </c>
      <c r="N25" s="274">
        <f t="shared" si="6"/>
        <v>188754.09716471974</v>
      </c>
      <c r="O25" s="274">
        <f t="shared" si="6"/>
        <v>268450.72709710593</v>
      </c>
      <c r="P25" s="275">
        <f t="shared" si="6"/>
        <v>0</v>
      </c>
      <c r="R25" s="487"/>
      <c r="S25" s="416">
        <f>S$20*'County One Time Input-GROWTH'!F37</f>
        <v>0</v>
      </c>
    </row>
    <row r="26" spans="1:19" ht="15">
      <c r="A26" s="202" t="s">
        <v>33</v>
      </c>
      <c r="B26" s="276">
        <f>'County One Time Input-BASE'!F44</f>
        <v>0.1676692953</v>
      </c>
      <c r="C26" s="277">
        <f t="shared" si="5"/>
        <v>2676853.654048893</v>
      </c>
      <c r="D26" s="278">
        <f aca="true" t="shared" si="7" ref="D26:D53">SUM(E26:P26)+S26</f>
        <v>2676853.6540488927</v>
      </c>
      <c r="E26" s="279">
        <f aca="true" t="shared" si="8" ref="E26:P30">E$14*$B26</f>
        <v>204697.315056235</v>
      </c>
      <c r="F26" s="279">
        <f t="shared" si="8"/>
        <v>216414.65443545842</v>
      </c>
      <c r="G26" s="279">
        <f t="shared" si="8"/>
        <v>274509.5498208281</v>
      </c>
      <c r="H26" s="279">
        <f t="shared" si="8"/>
        <v>208595.23906820104</v>
      </c>
      <c r="I26" s="279">
        <f t="shared" si="8"/>
        <v>205050.47806695438</v>
      </c>
      <c r="J26" s="279">
        <f t="shared" si="8"/>
        <v>351615.72599238006</v>
      </c>
      <c r="K26" s="279">
        <f t="shared" si="8"/>
        <v>202479.22635483093</v>
      </c>
      <c r="L26" s="279">
        <f t="shared" si="8"/>
        <v>177024.02591962117</v>
      </c>
      <c r="M26" s="279">
        <f t="shared" si="8"/>
        <v>295853.15407073754</v>
      </c>
      <c r="N26" s="279">
        <f t="shared" si="8"/>
        <v>223189.16143118634</v>
      </c>
      <c r="O26" s="279">
        <f t="shared" si="8"/>
        <v>317425.1238324599</v>
      </c>
      <c r="P26" s="280">
        <f t="shared" si="8"/>
        <v>0</v>
      </c>
      <c r="R26" s="488"/>
      <c r="S26" s="417">
        <f>S$20*'County One Time Input-GROWTH'!F38</f>
        <v>0</v>
      </c>
    </row>
    <row r="27" spans="1:19" ht="15">
      <c r="A27" s="202" t="s">
        <v>34</v>
      </c>
      <c r="B27" s="276">
        <f>'County One Time Input-BASE'!F45</f>
        <v>0.0708449138</v>
      </c>
      <c r="C27" s="277">
        <f t="shared" si="5"/>
        <v>1131044.6914981988</v>
      </c>
      <c r="D27" s="278">
        <f t="shared" si="7"/>
        <v>1131044.6914981985</v>
      </c>
      <c r="E27" s="279">
        <f t="shared" si="8"/>
        <v>86490.27607770004</v>
      </c>
      <c r="F27" s="279">
        <f t="shared" si="8"/>
        <v>91441.17598338138</v>
      </c>
      <c r="G27" s="279">
        <f t="shared" si="8"/>
        <v>115987.87577377845</v>
      </c>
      <c r="H27" s="279">
        <f t="shared" si="8"/>
        <v>88137.25676150735</v>
      </c>
      <c r="I27" s="279">
        <f t="shared" si="8"/>
        <v>86639.4972156967</v>
      </c>
      <c r="J27" s="279">
        <f t="shared" si="8"/>
        <v>148567.36741264627</v>
      </c>
      <c r="K27" s="279">
        <f t="shared" si="8"/>
        <v>85553.07226485782</v>
      </c>
      <c r="L27" s="279">
        <f t="shared" si="8"/>
        <v>74797.5461718573</v>
      </c>
      <c r="M27" s="279">
        <f t="shared" si="8"/>
        <v>125006.13878109097</v>
      </c>
      <c r="N27" s="279">
        <f t="shared" si="8"/>
        <v>94303.59252357806</v>
      </c>
      <c r="O27" s="279">
        <f t="shared" si="8"/>
        <v>134120.89253210425</v>
      </c>
      <c r="P27" s="280">
        <f t="shared" si="8"/>
        <v>0</v>
      </c>
      <c r="S27" s="417">
        <f>S$20*'County One Time Input-GROWTH'!F39</f>
        <v>0</v>
      </c>
    </row>
    <row r="28" spans="1:19" ht="15">
      <c r="A28" s="202" t="s">
        <v>35</v>
      </c>
      <c r="B28" s="276">
        <f>'County One Time Input-BASE'!F46</f>
        <v>0.012561492</v>
      </c>
      <c r="C28" s="277">
        <f t="shared" si="5"/>
        <v>200545.22028223696</v>
      </c>
      <c r="D28" s="278">
        <f t="shared" si="7"/>
        <v>200545.22028223696</v>
      </c>
      <c r="E28" s="279">
        <f t="shared" si="8"/>
        <v>15335.566842454402</v>
      </c>
      <c r="F28" s="279">
        <f t="shared" si="8"/>
        <v>16213.409530407776</v>
      </c>
      <c r="G28" s="279">
        <f t="shared" si="8"/>
        <v>20565.778056311385</v>
      </c>
      <c r="H28" s="279">
        <f t="shared" si="8"/>
        <v>15627.592530314016</v>
      </c>
      <c r="I28" s="279">
        <f t="shared" si="8"/>
        <v>15362.025201010212</v>
      </c>
      <c r="J28" s="279">
        <f t="shared" si="8"/>
        <v>26342.43867504031</v>
      </c>
      <c r="K28" s="279">
        <f t="shared" si="8"/>
        <v>15169.391494558266</v>
      </c>
      <c r="L28" s="279">
        <f t="shared" si="8"/>
        <v>13262.332148640658</v>
      </c>
      <c r="M28" s="279">
        <f t="shared" si="8"/>
        <v>22164.803766753455</v>
      </c>
      <c r="N28" s="279">
        <f t="shared" si="8"/>
        <v>16720.94381257029</v>
      </c>
      <c r="O28" s="279">
        <f t="shared" si="8"/>
        <v>23780.938224176185</v>
      </c>
      <c r="P28" s="280">
        <f t="shared" si="8"/>
        <v>0</v>
      </c>
      <c r="S28" s="417">
        <f>S$20*'County One Time Input-GROWTH'!F40</f>
        <v>0</v>
      </c>
    </row>
    <row r="29" spans="1:19" ht="15">
      <c r="A29" s="202" t="s">
        <v>30</v>
      </c>
      <c r="B29" s="276">
        <f>'County One Time Input-BASE'!F47</f>
        <v>0.0696125575</v>
      </c>
      <c r="C29" s="277">
        <f t="shared" si="5"/>
        <v>1111370.0250135404</v>
      </c>
      <c r="D29" s="278">
        <f t="shared" si="7"/>
        <v>1111370.0250135404</v>
      </c>
      <c r="E29" s="279">
        <f t="shared" si="8"/>
        <v>84985.76670792376</v>
      </c>
      <c r="F29" s="279">
        <f t="shared" si="8"/>
        <v>89850.5450790845</v>
      </c>
      <c r="G29" s="279">
        <f t="shared" si="8"/>
        <v>113970.25189979142</v>
      </c>
      <c r="H29" s="279">
        <f t="shared" si="8"/>
        <v>86604.09795293862</v>
      </c>
      <c r="I29" s="279">
        <f t="shared" si="8"/>
        <v>85132.39212521669</v>
      </c>
      <c r="J29" s="279">
        <f t="shared" si="8"/>
        <v>145983.01913152254</v>
      </c>
      <c r="K29" s="279">
        <f t="shared" si="8"/>
        <v>84064.86567478992</v>
      </c>
      <c r="L29" s="279">
        <f t="shared" si="8"/>
        <v>73496.43332825004</v>
      </c>
      <c r="M29" s="279">
        <f t="shared" si="8"/>
        <v>122831.6410733169</v>
      </c>
      <c r="N29" s="279">
        <f t="shared" si="8"/>
        <v>92663.16951894079</v>
      </c>
      <c r="O29" s="279">
        <f t="shared" si="8"/>
        <v>131787.84252176515</v>
      </c>
      <c r="P29" s="280">
        <f t="shared" si="8"/>
        <v>0</v>
      </c>
      <c r="S29" s="417">
        <f>S$20*'County One Time Input-GROWTH'!F41</f>
        <v>0</v>
      </c>
    </row>
    <row r="30" spans="1:19" ht="15">
      <c r="A30" s="202" t="s">
        <v>36</v>
      </c>
      <c r="B30" s="276">
        <f>'County One Time Input-BASE'!F48</f>
        <v>0.4963718089</v>
      </c>
      <c r="C30" s="277">
        <f t="shared" si="5"/>
        <v>7924615.464289029</v>
      </c>
      <c r="D30" s="278">
        <f t="shared" si="7"/>
        <v>7924615.46428903</v>
      </c>
      <c r="E30" s="279">
        <f t="shared" si="8"/>
        <v>605990.3595923121</v>
      </c>
      <c r="F30" s="279">
        <f t="shared" si="8"/>
        <v>640678.6245650601</v>
      </c>
      <c r="G30" s="279">
        <f t="shared" si="8"/>
        <v>812664.009597523</v>
      </c>
      <c r="H30" s="279">
        <f t="shared" si="8"/>
        <v>617529.8581588952</v>
      </c>
      <c r="I30" s="279">
        <f t="shared" si="8"/>
        <v>607035.8710090191</v>
      </c>
      <c r="J30" s="279">
        <f t="shared" si="8"/>
        <v>1040930.8015295537</v>
      </c>
      <c r="K30" s="279">
        <f t="shared" si="8"/>
        <v>599423.8818180325</v>
      </c>
      <c r="L30" s="279">
        <f t="shared" si="8"/>
        <v>524065.7557918587</v>
      </c>
      <c r="M30" s="279">
        <f t="shared" si="8"/>
        <v>875850.0773329271</v>
      </c>
      <c r="N30" s="279">
        <f t="shared" si="8"/>
        <v>660734.0216242447</v>
      </c>
      <c r="O30" s="279">
        <f t="shared" si="8"/>
        <v>939712.2032696026</v>
      </c>
      <c r="P30" s="280">
        <f t="shared" si="8"/>
        <v>0</v>
      </c>
      <c r="S30" s="417">
        <f>SUM(S$20*'County One Time Input-GROWTH'!F42)+S21</f>
        <v>0</v>
      </c>
    </row>
    <row r="31" spans="1:19" ht="15.75" hidden="1" outlineLevel="1">
      <c r="A31" s="281"/>
      <c r="B31" s="282" t="s">
        <v>73</v>
      </c>
      <c r="C31" s="283"/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6"/>
      <c r="S31" s="418">
        <f>S$20*'County One Time Input-GROWTH'!F43</f>
        <v>0</v>
      </c>
    </row>
    <row r="32" spans="1:19" ht="15" hidden="1" outlineLevel="1">
      <c r="A32" s="287" t="s">
        <v>48</v>
      </c>
      <c r="B32" s="288">
        <v>0.0015778427</v>
      </c>
      <c r="C32" s="283">
        <f aca="true" t="shared" si="9" ref="C32:C44">$C$30*B32</f>
        <v>12503.796660635555</v>
      </c>
      <c r="D32" s="284">
        <f t="shared" si="7"/>
        <v>12503.796660635553</v>
      </c>
      <c r="E32" s="285">
        <f aca="true" t="shared" si="10" ref="E32:P44">+E$30*$B32</f>
        <v>956.1574651531046</v>
      </c>
      <c r="F32" s="285">
        <f t="shared" si="10"/>
        <v>1010.8900908160207</v>
      </c>
      <c r="G32" s="285">
        <f t="shared" si="10"/>
        <v>1282.2559750961816</v>
      </c>
      <c r="H32" s="285">
        <f t="shared" si="10"/>
        <v>974.3649787280481</v>
      </c>
      <c r="I32" s="285">
        <f t="shared" si="10"/>
        <v>957.8071177097223</v>
      </c>
      <c r="J32" s="285">
        <f t="shared" si="10"/>
        <v>1642.4250663985551</v>
      </c>
      <c r="K32" s="285">
        <f t="shared" si="10"/>
        <v>945.7965961322452</v>
      </c>
      <c r="L32" s="285">
        <f t="shared" si="10"/>
        <v>826.8933270961669</v>
      </c>
      <c r="M32" s="285">
        <f t="shared" si="10"/>
        <v>1381.9536508141946</v>
      </c>
      <c r="N32" s="285">
        <f t="shared" si="10"/>
        <v>1042.5343526614568</v>
      </c>
      <c r="O32" s="285">
        <f t="shared" si="10"/>
        <v>1482.7180400298585</v>
      </c>
      <c r="P32" s="286">
        <f t="shared" si="10"/>
        <v>0</v>
      </c>
      <c r="S32" s="418">
        <f>S$20*'County One Time Input-GROWTH'!F44</f>
        <v>0</v>
      </c>
    </row>
    <row r="33" spans="1:19" ht="15" hidden="1" outlineLevel="1">
      <c r="A33" s="287" t="s">
        <v>49</v>
      </c>
      <c r="B33" s="288">
        <v>0.0083709851</v>
      </c>
      <c r="C33" s="283">
        <f t="shared" si="9"/>
        <v>66336.83797479304</v>
      </c>
      <c r="D33" s="284">
        <f t="shared" si="7"/>
        <v>66336.83797479304</v>
      </c>
      <c r="E33" s="285">
        <f t="shared" si="10"/>
        <v>5072.736270890888</v>
      </c>
      <c r="F33" s="285">
        <f t="shared" si="10"/>
        <v>5363.111220122612</v>
      </c>
      <c r="G33" s="285">
        <f t="shared" si="10"/>
        <v>6802.798315647123</v>
      </c>
      <c r="H33" s="285">
        <f t="shared" si="10"/>
        <v>5169.333241453225</v>
      </c>
      <c r="I33" s="285">
        <f t="shared" si="10"/>
        <v>5081.488231382021</v>
      </c>
      <c r="J33" s="285">
        <f t="shared" si="10"/>
        <v>8713.616229734951</v>
      </c>
      <c r="K33" s="285">
        <f t="shared" si="10"/>
        <v>5017.768383282911</v>
      </c>
      <c r="L33" s="285">
        <f t="shared" si="10"/>
        <v>4386.946633153888</v>
      </c>
      <c r="M33" s="285">
        <f t="shared" si="10"/>
        <v>7331.727947187781</v>
      </c>
      <c r="N33" s="285">
        <f t="shared" si="10"/>
        <v>5530.994650079631</v>
      </c>
      <c r="O33" s="285">
        <f t="shared" si="10"/>
        <v>7866.316851858015</v>
      </c>
      <c r="P33" s="286">
        <f t="shared" si="10"/>
        <v>0</v>
      </c>
      <c r="S33" s="418">
        <f>S$20*'County One Time Input-GROWTH'!F45</f>
        <v>0</v>
      </c>
    </row>
    <row r="34" spans="1:19" ht="15" hidden="1" outlineLevel="1">
      <c r="A34" s="287" t="s">
        <v>50</v>
      </c>
      <c r="B34" s="288">
        <v>0.0093834527</v>
      </c>
      <c r="C34" s="283">
        <f t="shared" si="9"/>
        <v>74360.25437484463</v>
      </c>
      <c r="D34" s="284">
        <f t="shared" si="7"/>
        <v>74360.25437484463</v>
      </c>
      <c r="E34" s="285">
        <f t="shared" si="10"/>
        <v>5686.281875890451</v>
      </c>
      <c r="F34" s="285">
        <f t="shared" si="10"/>
        <v>6011.7775695073</v>
      </c>
      <c r="G34" s="285">
        <f t="shared" si="10"/>
        <v>7625.594295050702</v>
      </c>
      <c r="H34" s="285">
        <f t="shared" si="10"/>
        <v>5794.562214871701</v>
      </c>
      <c r="I34" s="285">
        <f t="shared" si="10"/>
        <v>5696.092382816431</v>
      </c>
      <c r="J34" s="285">
        <f t="shared" si="10"/>
        <v>9767.524940125655</v>
      </c>
      <c r="K34" s="285">
        <f t="shared" si="10"/>
        <v>5624.665642289898</v>
      </c>
      <c r="L34" s="285">
        <f t="shared" si="10"/>
        <v>4917.546231162657</v>
      </c>
      <c r="M34" s="285">
        <f t="shared" si="10"/>
        <v>8218.497772944864</v>
      </c>
      <c r="N34" s="285">
        <f t="shared" si="10"/>
        <v>6199.966439191878</v>
      </c>
      <c r="O34" s="285">
        <f t="shared" si="10"/>
        <v>8817.745010993101</v>
      </c>
      <c r="P34" s="286">
        <f t="shared" si="10"/>
        <v>0</v>
      </c>
      <c r="S34" s="418">
        <f>S$20*'County One Time Input-GROWTH'!F46</f>
        <v>0</v>
      </c>
    </row>
    <row r="35" spans="1:19" ht="15" hidden="1" outlineLevel="1">
      <c r="A35" s="287" t="s">
        <v>51</v>
      </c>
      <c r="B35" s="288">
        <v>0.0146007374</v>
      </c>
      <c r="C35" s="283">
        <f t="shared" si="9"/>
        <v>115705.22939006319</v>
      </c>
      <c r="D35" s="284">
        <f t="shared" si="7"/>
        <v>115705.22939006318</v>
      </c>
      <c r="E35" s="285">
        <f t="shared" si="10"/>
        <v>8847.90610733892</v>
      </c>
      <c r="F35" s="285">
        <f t="shared" si="10"/>
        <v>9354.380355067631</v>
      </c>
      <c r="G35" s="285">
        <f t="shared" si="10"/>
        <v>11865.493798564512</v>
      </c>
      <c r="H35" s="285">
        <f t="shared" si="10"/>
        <v>9016.391295637275</v>
      </c>
      <c r="I35" s="285">
        <f t="shared" si="10"/>
        <v>8863.17134498296</v>
      </c>
      <c r="J35" s="285">
        <f t="shared" si="10"/>
        <v>15198.35728470453</v>
      </c>
      <c r="K35" s="285">
        <f t="shared" si="10"/>
        <v>8752.030689713727</v>
      </c>
      <c r="L35" s="285">
        <f t="shared" si="10"/>
        <v>7651.746480649458</v>
      </c>
      <c r="M35" s="285">
        <f t="shared" si="10"/>
        <v>12788.05698090776</v>
      </c>
      <c r="N35" s="285">
        <f t="shared" si="10"/>
        <v>9647.203940981519</v>
      </c>
      <c r="O35" s="285">
        <f t="shared" si="10"/>
        <v>13720.491111514888</v>
      </c>
      <c r="P35" s="286">
        <f t="shared" si="10"/>
        <v>0</v>
      </c>
      <c r="S35" s="418">
        <f>S$20*'County One Time Input-GROWTH'!F47</f>
        <v>0</v>
      </c>
    </row>
    <row r="36" spans="1:19" ht="15" hidden="1" outlineLevel="1">
      <c r="A36" s="287" t="s">
        <v>52</v>
      </c>
      <c r="B36" s="288">
        <v>0.0011031938</v>
      </c>
      <c r="C36" s="283">
        <f t="shared" si="9"/>
        <v>8742.386647587778</v>
      </c>
      <c r="D36" s="284">
        <f t="shared" si="7"/>
        <v>8742.386647587778</v>
      </c>
      <c r="E36" s="285">
        <f t="shared" si="10"/>
        <v>668.5248075620093</v>
      </c>
      <c r="F36" s="285">
        <f t="shared" si="10"/>
        <v>706.792686412702</v>
      </c>
      <c r="G36" s="285">
        <f t="shared" si="10"/>
        <v>896.5258968711279</v>
      </c>
      <c r="H36" s="285">
        <f t="shared" si="10"/>
        <v>681.2551108357726</v>
      </c>
      <c r="I36" s="285">
        <f t="shared" si="10"/>
        <v>669.6782092747496</v>
      </c>
      <c r="J36" s="285">
        <f t="shared" si="10"/>
        <v>1148.348406476434</v>
      </c>
      <c r="K36" s="285">
        <f t="shared" si="10"/>
        <v>661.2807099935861</v>
      </c>
      <c r="L36" s="285">
        <f t="shared" si="10"/>
        <v>578.1460925818926</v>
      </c>
      <c r="M36" s="285">
        <f t="shared" si="10"/>
        <v>966.2323750432057</v>
      </c>
      <c r="N36" s="285">
        <f t="shared" si="10"/>
        <v>728.9176761049328</v>
      </c>
      <c r="O36" s="285">
        <f t="shared" si="10"/>
        <v>1036.6846764313652</v>
      </c>
      <c r="P36" s="286">
        <f t="shared" si="10"/>
        <v>0</v>
      </c>
      <c r="S36" s="418">
        <f>S$20*'County One Time Input-GROWTH'!F48</f>
        <v>0</v>
      </c>
    </row>
    <row r="37" spans="1:19" ht="15" hidden="1" outlineLevel="1">
      <c r="A37" s="287" t="s">
        <v>53</v>
      </c>
      <c r="B37" s="288">
        <v>0.0013877496</v>
      </c>
      <c r="C37" s="283">
        <f t="shared" si="9"/>
        <v>10997.381940720914</v>
      </c>
      <c r="D37" s="284">
        <f t="shared" si="7"/>
        <v>10997.381940720914</v>
      </c>
      <c r="E37" s="285">
        <f t="shared" si="10"/>
        <v>840.9628791280873</v>
      </c>
      <c r="F37" s="285">
        <f t="shared" si="10"/>
        <v>889.1015049687123</v>
      </c>
      <c r="G37" s="285">
        <f t="shared" si="10"/>
        <v>1127.7741542533588</v>
      </c>
      <c r="H37" s="285">
        <f t="shared" si="10"/>
        <v>856.9768136480635</v>
      </c>
      <c r="I37" s="285">
        <f t="shared" si="10"/>
        <v>842.4137871784178</v>
      </c>
      <c r="J37" s="285">
        <f t="shared" si="10"/>
        <v>1444.5513034503176</v>
      </c>
      <c r="K37" s="285">
        <f t="shared" si="10"/>
        <v>831.8502522234218</v>
      </c>
      <c r="L37" s="285">
        <f t="shared" si="10"/>
        <v>727.2720429738496</v>
      </c>
      <c r="M37" s="285">
        <f t="shared" si="10"/>
        <v>1215.4605944787386</v>
      </c>
      <c r="N37" s="285">
        <f t="shared" si="10"/>
        <v>916.933374215437</v>
      </c>
      <c r="O37" s="285">
        <f t="shared" si="10"/>
        <v>1304.0852342025096</v>
      </c>
      <c r="P37" s="286">
        <f t="shared" si="10"/>
        <v>0</v>
      </c>
      <c r="S37" s="418">
        <f>S$20*'County One Time Input-GROWTH'!F49</f>
        <v>0</v>
      </c>
    </row>
    <row r="38" spans="1:19" ht="15" hidden="1" outlineLevel="1">
      <c r="A38" s="287" t="s">
        <v>54</v>
      </c>
      <c r="B38" s="288">
        <v>0</v>
      </c>
      <c r="C38" s="283">
        <f t="shared" si="9"/>
        <v>0</v>
      </c>
      <c r="D38" s="284" t="e">
        <f t="shared" si="7"/>
        <v>#VALUE!</v>
      </c>
      <c r="E38" s="285">
        <f t="shared" si="10"/>
        <v>0</v>
      </c>
      <c r="F38" s="285">
        <f t="shared" si="10"/>
        <v>0</v>
      </c>
      <c r="G38" s="285">
        <f t="shared" si="10"/>
        <v>0</v>
      </c>
      <c r="H38" s="285">
        <f t="shared" si="10"/>
        <v>0</v>
      </c>
      <c r="I38" s="285">
        <f t="shared" si="10"/>
        <v>0</v>
      </c>
      <c r="J38" s="285">
        <f t="shared" si="10"/>
        <v>0</v>
      </c>
      <c r="K38" s="285">
        <f t="shared" si="10"/>
        <v>0</v>
      </c>
      <c r="L38" s="285">
        <f t="shared" si="10"/>
        <v>0</v>
      </c>
      <c r="M38" s="285">
        <f t="shared" si="10"/>
        <v>0</v>
      </c>
      <c r="N38" s="285">
        <f t="shared" si="10"/>
        <v>0</v>
      </c>
      <c r="O38" s="285">
        <f t="shared" si="10"/>
        <v>0</v>
      </c>
      <c r="P38" s="286">
        <f t="shared" si="10"/>
        <v>0</v>
      </c>
      <c r="S38" s="418" t="e">
        <f>S$20*'County One Time Input-GROWTH'!F50</f>
        <v>#VALUE!</v>
      </c>
    </row>
    <row r="39" spans="1:19" ht="15" hidden="1" outlineLevel="1">
      <c r="A39" s="287" t="s">
        <v>55</v>
      </c>
      <c r="B39" s="288">
        <v>0.0731161313</v>
      </c>
      <c r="C39" s="283">
        <f t="shared" si="9"/>
        <v>579417.224788967</v>
      </c>
      <c r="D39" s="284">
        <f t="shared" si="7"/>
        <v>579417.224788967</v>
      </c>
      <c r="E39" s="285">
        <f t="shared" si="10"/>
        <v>44307.67069848571</v>
      </c>
      <c r="F39" s="285">
        <f t="shared" si="10"/>
        <v>46843.94243480234</v>
      </c>
      <c r="G39" s="285">
        <f t="shared" si="10"/>
        <v>59418.848428516954</v>
      </c>
      <c r="H39" s="285">
        <f t="shared" si="10"/>
        <v>45151.39419081615</v>
      </c>
      <c r="I39" s="285">
        <f t="shared" si="10"/>
        <v>44384.1144485053</v>
      </c>
      <c r="J39" s="285">
        <f t="shared" si="10"/>
        <v>76108.83315884908</v>
      </c>
      <c r="K39" s="285">
        <f t="shared" si="10"/>
        <v>43827.55524736294</v>
      </c>
      <c r="L39" s="285">
        <f t="shared" si="10"/>
        <v>38317.66061031128</v>
      </c>
      <c r="M39" s="285">
        <f t="shared" si="10"/>
        <v>64038.76925338945</v>
      </c>
      <c r="N39" s="285">
        <f t="shared" si="10"/>
        <v>48310.31547945532</v>
      </c>
      <c r="O39" s="285">
        <f t="shared" si="10"/>
        <v>68708.12083847255</v>
      </c>
      <c r="P39" s="286">
        <f t="shared" si="10"/>
        <v>0</v>
      </c>
      <c r="S39" s="418">
        <f>S$20*'County One Time Input-GROWTH'!F51</f>
        <v>0</v>
      </c>
    </row>
    <row r="40" spans="1:19" ht="15" hidden="1" outlineLevel="1">
      <c r="A40" s="287" t="s">
        <v>56</v>
      </c>
      <c r="B40" s="288">
        <v>0.156273218</v>
      </c>
      <c r="C40" s="283">
        <f t="shared" si="9"/>
        <v>1238405.1600170105</v>
      </c>
      <c r="D40" s="284" t="e">
        <f t="shared" si="7"/>
        <v>#VALUE!</v>
      </c>
      <c r="E40" s="285">
        <f t="shared" si="10"/>
        <v>94700.06357046778</v>
      </c>
      <c r="F40" s="285">
        <f t="shared" si="10"/>
        <v>100120.9103645958</v>
      </c>
      <c r="G40" s="285">
        <f t="shared" si="10"/>
        <v>126997.6199325878</v>
      </c>
      <c r="H40" s="285">
        <f t="shared" si="10"/>
        <v>96503.3781455741</v>
      </c>
      <c r="I40" s="285">
        <f t="shared" si="10"/>
        <v>94863.44900401232</v>
      </c>
      <c r="J40" s="285">
        <f t="shared" si="10"/>
        <v>162669.60607034268</v>
      </c>
      <c r="K40" s="285">
        <f t="shared" si="10"/>
        <v>93673.89895775562</v>
      </c>
      <c r="L40" s="285">
        <f t="shared" si="10"/>
        <v>81897.44210119589</v>
      </c>
      <c r="M40" s="285">
        <f t="shared" si="10"/>
        <v>136871.91007036538</v>
      </c>
      <c r="N40" s="285">
        <f t="shared" si="10"/>
        <v>103255.0318013023</v>
      </c>
      <c r="O40" s="285">
        <f t="shared" si="10"/>
        <v>146851.8499988109</v>
      </c>
      <c r="P40" s="286">
        <f t="shared" si="10"/>
        <v>0</v>
      </c>
      <c r="S40" s="418" t="e">
        <f>S$20*'County One Time Input-GROWTH'!F52</f>
        <v>#VALUE!</v>
      </c>
    </row>
    <row r="41" spans="1:19" ht="15" hidden="1" outlineLevel="1">
      <c r="A41" s="287" t="s">
        <v>57</v>
      </c>
      <c r="B41" s="288">
        <v>0.001167648</v>
      </c>
      <c r="C41" s="283">
        <f t="shared" si="9"/>
        <v>9253.161397646158</v>
      </c>
      <c r="D41" s="284">
        <f t="shared" si="7"/>
        <v>9253.161397646158</v>
      </c>
      <c r="E41" s="285">
        <f t="shared" si="10"/>
        <v>707.5834313972441</v>
      </c>
      <c r="F41" s="285">
        <f t="shared" si="10"/>
        <v>748.0871146161434</v>
      </c>
      <c r="G41" s="285">
        <f t="shared" si="10"/>
        <v>948.9055054785287</v>
      </c>
      <c r="H41" s="285">
        <f t="shared" si="10"/>
        <v>721.0575038195177</v>
      </c>
      <c r="I41" s="285">
        <f t="shared" si="10"/>
        <v>708.8042207119391</v>
      </c>
      <c r="J41" s="285">
        <f t="shared" si="10"/>
        <v>1215.4407685443805</v>
      </c>
      <c r="K41" s="285">
        <f t="shared" si="10"/>
        <v>699.9160967570621</v>
      </c>
      <c r="L41" s="285">
        <f t="shared" si="10"/>
        <v>611.9243316188523</v>
      </c>
      <c r="M41" s="285">
        <f t="shared" si="10"/>
        <v>1022.6845910976377</v>
      </c>
      <c r="N41" s="285">
        <f t="shared" si="10"/>
        <v>771.5047588815062</v>
      </c>
      <c r="O41" s="285">
        <f t="shared" si="10"/>
        <v>1097.253074723345</v>
      </c>
      <c r="P41" s="286">
        <f t="shared" si="10"/>
        <v>0</v>
      </c>
      <c r="S41" s="418">
        <f>S$20*'County One Time Input-GROWTH'!F53</f>
        <v>0</v>
      </c>
    </row>
    <row r="42" spans="1:19" ht="15" hidden="1" outlineLevel="1">
      <c r="A42" s="287" t="s">
        <v>58</v>
      </c>
      <c r="B42" s="288">
        <v>0.0147322145</v>
      </c>
      <c r="C42" s="283">
        <f t="shared" si="9"/>
        <v>116747.13484992307</v>
      </c>
      <c r="D42" s="284">
        <f t="shared" si="7"/>
        <v>116747.13484992307</v>
      </c>
      <c r="E42" s="285">
        <f t="shared" si="10"/>
        <v>8927.579962446074</v>
      </c>
      <c r="F42" s="285">
        <f t="shared" si="10"/>
        <v>9438.614922657434</v>
      </c>
      <c r="G42" s="285">
        <f t="shared" si="10"/>
        <v>11972.340505820768</v>
      </c>
      <c r="H42" s="285">
        <f t="shared" si="10"/>
        <v>9097.582330551419</v>
      </c>
      <c r="I42" s="285">
        <f t="shared" si="10"/>
        <v>8942.9826608992</v>
      </c>
      <c r="J42" s="285">
        <f t="shared" si="10"/>
        <v>15335.215847790314</v>
      </c>
      <c r="K42" s="285">
        <f t="shared" si="10"/>
        <v>8830.841203365904</v>
      </c>
      <c r="L42" s="285">
        <f t="shared" si="10"/>
        <v>7720.64912643028</v>
      </c>
      <c r="M42" s="285">
        <f t="shared" si="10"/>
        <v>12903.21120911027</v>
      </c>
      <c r="N42" s="285">
        <f t="shared" si="10"/>
        <v>9734.075334016012</v>
      </c>
      <c r="O42" s="285">
        <f t="shared" si="10"/>
        <v>13844.041746835388</v>
      </c>
      <c r="P42" s="286">
        <f t="shared" si="10"/>
        <v>0</v>
      </c>
      <c r="S42" s="418">
        <f>S$20*'County One Time Input-GROWTH'!F54</f>
        <v>0</v>
      </c>
    </row>
    <row r="43" spans="1:19" ht="15" hidden="1" outlineLevel="1">
      <c r="A43" s="287" t="s">
        <v>59</v>
      </c>
      <c r="B43" s="288">
        <v>0.1723665597</v>
      </c>
      <c r="C43" s="283">
        <f t="shared" si="9"/>
        <v>1365938.7045249182</v>
      </c>
      <c r="D43" s="284">
        <f t="shared" si="7"/>
        <v>1365938.7045249182</v>
      </c>
      <c r="E43" s="285">
        <f t="shared" si="10"/>
        <v>104452.47349429275</v>
      </c>
      <c r="F43" s="285">
        <f t="shared" si="10"/>
        <v>110431.57038960732</v>
      </c>
      <c r="G43" s="285">
        <f t="shared" si="10"/>
        <v>140076.09952633284</v>
      </c>
      <c r="H43" s="285">
        <f t="shared" si="10"/>
        <v>106441.49716287774</v>
      </c>
      <c r="I43" s="285">
        <f t="shared" si="10"/>
        <v>104632.6847003176</v>
      </c>
      <c r="J43" s="285">
        <f t="shared" si="10"/>
        <v>179421.66114541268</v>
      </c>
      <c r="K43" s="285">
        <f t="shared" si="10"/>
        <v>103320.63231099363</v>
      </c>
      <c r="L43" s="285">
        <f t="shared" si="10"/>
        <v>90331.41138242304</v>
      </c>
      <c r="M43" s="285">
        <f t="shared" si="10"/>
        <v>150967.26464285562</v>
      </c>
      <c r="N43" s="285">
        <f t="shared" si="10"/>
        <v>113888.45018411647</v>
      </c>
      <c r="O43" s="285">
        <f t="shared" si="10"/>
        <v>161974.95958568848</v>
      </c>
      <c r="P43" s="286">
        <f t="shared" si="10"/>
        <v>0</v>
      </c>
      <c r="S43" s="418">
        <f>S$20*'County One Time Input-GROWTH'!F55</f>
        <v>0</v>
      </c>
    </row>
    <row r="44" spans="1:19" ht="15" hidden="1" outlineLevel="1">
      <c r="A44" s="287" t="s">
        <v>60</v>
      </c>
      <c r="B44" s="288">
        <v>0.5459202672</v>
      </c>
      <c r="C44" s="283">
        <f t="shared" si="9"/>
        <v>4326208.191721919</v>
      </c>
      <c r="D44" s="284">
        <f t="shared" si="7"/>
        <v>4326208.191721918</v>
      </c>
      <c r="E44" s="285">
        <f t="shared" si="10"/>
        <v>330822.4190292591</v>
      </c>
      <c r="F44" s="285">
        <f t="shared" si="10"/>
        <v>349759.4459118861</v>
      </c>
      <c r="G44" s="285">
        <f t="shared" si="10"/>
        <v>443649.75326330314</v>
      </c>
      <c r="H44" s="285">
        <f>SUM(H30-SUM(H32:H43))</f>
        <v>337122.06517008215</v>
      </c>
      <c r="I44" s="285">
        <f t="shared" si="10"/>
        <v>331393.1849012284</v>
      </c>
      <c r="J44" s="285">
        <f t="shared" si="10"/>
        <v>568265.2213077241</v>
      </c>
      <c r="K44" s="285">
        <f t="shared" si="10"/>
        <v>327237.6457281615</v>
      </c>
      <c r="L44" s="285">
        <f t="shared" si="10"/>
        <v>286098.11743226147</v>
      </c>
      <c r="M44" s="285">
        <f t="shared" si="10"/>
        <v>478144.3082447322</v>
      </c>
      <c r="N44" s="285">
        <f t="shared" si="10"/>
        <v>360708.0936332383</v>
      </c>
      <c r="O44" s="285">
        <f t="shared" si="10"/>
        <v>513007.9371000421</v>
      </c>
      <c r="P44" s="286">
        <f t="shared" si="10"/>
        <v>0</v>
      </c>
      <c r="S44" s="418">
        <f>S$20*'County One Time Input-GROWTH'!F56</f>
        <v>0</v>
      </c>
    </row>
    <row r="45" spans="1:19" ht="15" hidden="1" outlineLevel="1">
      <c r="A45" s="289" t="s">
        <v>80</v>
      </c>
      <c r="B45" s="290">
        <f aca="true" t="shared" si="11" ref="B45:P45">SUBTOTAL(9,B32:B44)</f>
        <v>1</v>
      </c>
      <c r="C45" s="291">
        <f t="shared" si="11"/>
        <v>7924615.464289029</v>
      </c>
      <c r="D45" s="291">
        <f t="shared" si="7"/>
        <v>7924615.46428903</v>
      </c>
      <c r="E45" s="292">
        <f t="shared" si="11"/>
        <v>605990.3595923121</v>
      </c>
      <c r="F45" s="292">
        <f t="shared" si="11"/>
        <v>640678.6245650601</v>
      </c>
      <c r="G45" s="292">
        <f t="shared" si="11"/>
        <v>812664.009597523</v>
      </c>
      <c r="H45" s="292">
        <f t="shared" si="11"/>
        <v>617529.8581588952</v>
      </c>
      <c r="I45" s="292">
        <f t="shared" si="11"/>
        <v>607035.8710090191</v>
      </c>
      <c r="J45" s="292">
        <f t="shared" si="11"/>
        <v>1040930.8015295537</v>
      </c>
      <c r="K45" s="292">
        <f t="shared" si="11"/>
        <v>599423.8818180325</v>
      </c>
      <c r="L45" s="292">
        <f t="shared" si="11"/>
        <v>524065.7557918587</v>
      </c>
      <c r="M45" s="292">
        <f t="shared" si="11"/>
        <v>875850.0773329271</v>
      </c>
      <c r="N45" s="292">
        <f t="shared" si="11"/>
        <v>660734.0216242447</v>
      </c>
      <c r="O45" s="292">
        <f t="shared" si="11"/>
        <v>939712.2032696025</v>
      </c>
      <c r="P45" s="293">
        <f t="shared" si="11"/>
        <v>0</v>
      </c>
      <c r="S45" s="466">
        <f>S$20*'County One Time Input-GROWTH'!F57</f>
        <v>0</v>
      </c>
    </row>
    <row r="46" spans="1:19" ht="15" collapsed="1">
      <c r="A46" s="202" t="s">
        <v>28</v>
      </c>
      <c r="B46" s="294">
        <f>'County One Time Input-BASE'!F49</f>
        <v>0.0118243794</v>
      </c>
      <c r="C46" s="277">
        <f>B46*C$14</f>
        <v>188777.15891342724</v>
      </c>
      <c r="D46" s="278">
        <f t="shared" si="7"/>
        <v>188777.1589134272</v>
      </c>
      <c r="E46" s="279">
        <f aca="true" t="shared" si="12" ref="E46:P47">E$14*$B46</f>
        <v>14435.670592254555</v>
      </c>
      <c r="F46" s="279">
        <f t="shared" si="12"/>
        <v>15262.001174312523</v>
      </c>
      <c r="G46" s="279">
        <f t="shared" si="12"/>
        <v>19358.9712427489</v>
      </c>
      <c r="H46" s="279">
        <f t="shared" si="12"/>
        <v>14710.560113960899</v>
      </c>
      <c r="I46" s="279">
        <f t="shared" si="12"/>
        <v>14460.576365379686</v>
      </c>
      <c r="J46" s="279">
        <f t="shared" si="12"/>
        <v>24796.65546217837</v>
      </c>
      <c r="K46" s="279">
        <f t="shared" si="12"/>
        <v>14279.246469988593</v>
      </c>
      <c r="L46" s="279">
        <f t="shared" si="12"/>
        <v>12484.094011630492</v>
      </c>
      <c r="M46" s="279">
        <f t="shared" si="12"/>
        <v>20864.165583566184</v>
      </c>
      <c r="N46" s="279">
        <f t="shared" si="12"/>
        <v>15739.753173103449</v>
      </c>
      <c r="O46" s="279">
        <f t="shared" si="12"/>
        <v>22385.464724303565</v>
      </c>
      <c r="P46" s="280">
        <f t="shared" si="12"/>
        <v>0</v>
      </c>
      <c r="S46" s="417">
        <f>S$20*'County One Time Input-GROWTH'!F43</f>
        <v>0</v>
      </c>
    </row>
    <row r="47" spans="1:19" ht="15">
      <c r="A47" s="202" t="s">
        <v>29</v>
      </c>
      <c r="B47" s="294">
        <f>'County One Time Input-BASE'!F50</f>
        <v>0.0293153588</v>
      </c>
      <c r="C47" s="277">
        <f>B47*C$14</f>
        <v>468022.03816225124</v>
      </c>
      <c r="D47" s="278">
        <f t="shared" si="7"/>
        <v>468022.03816225124</v>
      </c>
      <c r="E47" s="279">
        <f t="shared" si="12"/>
        <v>35789.350850037066</v>
      </c>
      <c r="F47" s="279">
        <f t="shared" si="12"/>
        <v>37838.01460489275</v>
      </c>
      <c r="G47" s="279">
        <f t="shared" si="12"/>
        <v>47995.34662936018</v>
      </c>
      <c r="H47" s="279">
        <f t="shared" si="12"/>
        <v>36470.86526077915</v>
      </c>
      <c r="I47" s="279">
        <f t="shared" si="12"/>
        <v>35851.097995545155</v>
      </c>
      <c r="J47" s="279">
        <f t="shared" si="12"/>
        <v>61476.61770001551</v>
      </c>
      <c r="K47" s="279">
        <f t="shared" si="12"/>
        <v>35401.539438200794</v>
      </c>
      <c r="L47" s="279">
        <f t="shared" si="12"/>
        <v>30950.943205009073</v>
      </c>
      <c r="M47" s="279">
        <f t="shared" si="12"/>
        <v>51727.069933569124</v>
      </c>
      <c r="N47" s="279">
        <f t="shared" si="12"/>
        <v>39022.47180033534</v>
      </c>
      <c r="O47" s="279">
        <f t="shared" si="12"/>
        <v>55498.72074450708</v>
      </c>
      <c r="P47" s="280">
        <f t="shared" si="12"/>
        <v>0</v>
      </c>
      <c r="S47" s="417">
        <f>S$20*'County One Time Input-GROWTH'!F44</f>
        <v>0</v>
      </c>
    </row>
    <row r="48" spans="1:19" ht="15.75" hidden="1" outlineLevel="1">
      <c r="A48" s="281"/>
      <c r="B48" s="282" t="s">
        <v>72</v>
      </c>
      <c r="C48" s="283"/>
      <c r="D48" s="284" t="e">
        <f t="shared" si="7"/>
        <v>#VALUE!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6"/>
      <c r="S48" s="418" t="e">
        <f>S$20*$B48</f>
        <v>#VALUE!</v>
      </c>
    </row>
    <row r="49" spans="1:19" ht="15" hidden="1" outlineLevel="1">
      <c r="A49" s="295" t="s">
        <v>29</v>
      </c>
      <c r="B49" s="288">
        <v>0.6750743897</v>
      </c>
      <c r="C49" s="283">
        <f>$C$47*B49</f>
        <v>315949.6917785319</v>
      </c>
      <c r="D49" s="284">
        <f t="shared" si="7"/>
        <v>315949.69467078045</v>
      </c>
      <c r="E49" s="285">
        <f aca="true" t="shared" si="13" ref="E49:P51">E$47*$B49</f>
        <v>24160.47418284795</v>
      </c>
      <c r="F49" s="285">
        <f t="shared" si="13"/>
        <v>25543.47461685766</v>
      </c>
      <c r="G49" s="285">
        <f t="shared" si="13"/>
        <v>32400.429334255277</v>
      </c>
      <c r="H49" s="285">
        <f>ROUND(H$47*$B49,2)</f>
        <v>24620.55</v>
      </c>
      <c r="I49" s="285">
        <f t="shared" si="13"/>
        <v>24202.15809941754</v>
      </c>
      <c r="J49" s="285">
        <f t="shared" si="13"/>
        <v>41501.290174658185</v>
      </c>
      <c r="K49" s="285">
        <f t="shared" si="13"/>
        <v>23898.672630683883</v>
      </c>
      <c r="L49" s="285">
        <f t="shared" si="13"/>
        <v>20894.189094760863</v>
      </c>
      <c r="M49" s="285">
        <f t="shared" si="13"/>
        <v>34919.620166373395</v>
      </c>
      <c r="N49" s="285">
        <f t="shared" si="13"/>
        <v>26343.07133519684</v>
      </c>
      <c r="O49" s="285">
        <f t="shared" si="13"/>
        <v>37465.76503572885</v>
      </c>
      <c r="P49" s="286">
        <f t="shared" si="13"/>
        <v>0</v>
      </c>
      <c r="S49" s="418">
        <f>S$20*$B49</f>
        <v>0</v>
      </c>
    </row>
    <row r="50" spans="1:19" ht="15" hidden="1" outlineLevel="1">
      <c r="A50" s="295" t="s">
        <v>61</v>
      </c>
      <c r="B50" s="288">
        <v>0.3152138903</v>
      </c>
      <c r="C50" s="283">
        <f>$C$47*B50</f>
        <v>147527.0473952583</v>
      </c>
      <c r="D50" s="284">
        <f t="shared" si="7"/>
        <v>147527.04407380096</v>
      </c>
      <c r="E50" s="285">
        <f t="shared" si="13"/>
        <v>11281.300512751797</v>
      </c>
      <c r="F50" s="285">
        <f t="shared" si="13"/>
        <v>11927.067784836461</v>
      </c>
      <c r="G50" s="285">
        <f t="shared" si="13"/>
        <v>15128.799927337615</v>
      </c>
      <c r="H50" s="285">
        <f>ROUND(H$47*$B50,2)</f>
        <v>11496.12</v>
      </c>
      <c r="I50" s="285">
        <f t="shared" si="13"/>
        <v>11300.764070702322</v>
      </c>
      <c r="J50" s="285">
        <f t="shared" si="13"/>
        <v>19378.283827707728</v>
      </c>
      <c r="K50" s="285">
        <f t="shared" si="13"/>
        <v>11159.05696892415</v>
      </c>
      <c r="L50" s="285">
        <f t="shared" si="13"/>
        <v>9756.167216105261</v>
      </c>
      <c r="M50" s="285">
        <f t="shared" si="13"/>
        <v>16305.090947580487</v>
      </c>
      <c r="N50" s="285">
        <f t="shared" si="13"/>
        <v>12300.425145305748</v>
      </c>
      <c r="O50" s="285">
        <f t="shared" si="13"/>
        <v>17493.967672549392</v>
      </c>
      <c r="P50" s="286">
        <f t="shared" si="13"/>
        <v>0</v>
      </c>
      <c r="S50" s="418">
        <f>S$20*$B50</f>
        <v>0</v>
      </c>
    </row>
    <row r="51" spans="1:19" ht="15" hidden="1" outlineLevel="1">
      <c r="A51" s="295" t="s">
        <v>62</v>
      </c>
      <c r="B51" s="288">
        <v>0.00971172</v>
      </c>
      <c r="C51" s="283">
        <f>$C$47*B51</f>
        <v>4545.298988461099</v>
      </c>
      <c r="D51" s="284">
        <f t="shared" si="7"/>
        <v>4545.299417669826</v>
      </c>
      <c r="E51" s="285">
        <f t="shared" si="13"/>
        <v>347.576154437322</v>
      </c>
      <c r="F51" s="285">
        <f t="shared" si="13"/>
        <v>367.472203198629</v>
      </c>
      <c r="G51" s="285">
        <f t="shared" si="13"/>
        <v>466.11736776728986</v>
      </c>
      <c r="H51" s="285">
        <f>+H47-H49-H50</f>
        <v>354.1952607791518</v>
      </c>
      <c r="I51" s="285">
        <f aca="true" t="shared" si="14" ref="I51:O51">+I47-I49-I50</f>
        <v>348.17582542529453</v>
      </c>
      <c r="J51" s="285">
        <f t="shared" si="14"/>
        <v>597.0436976495948</v>
      </c>
      <c r="K51" s="285">
        <f t="shared" si="14"/>
        <v>343.8098385927624</v>
      </c>
      <c r="L51" s="285">
        <f t="shared" si="14"/>
        <v>300.58689414294895</v>
      </c>
      <c r="M51" s="285">
        <f t="shared" si="14"/>
        <v>502.3588196152414</v>
      </c>
      <c r="N51" s="285">
        <f t="shared" si="14"/>
        <v>378.9753198327526</v>
      </c>
      <c r="O51" s="285">
        <f t="shared" si="14"/>
        <v>538.9880362288386</v>
      </c>
      <c r="P51" s="286">
        <f t="shared" si="13"/>
        <v>0</v>
      </c>
      <c r="S51" s="418">
        <f>S$20*$B51</f>
        <v>0</v>
      </c>
    </row>
    <row r="52" spans="1:19" ht="15" hidden="1" outlineLevel="1">
      <c r="A52" s="289" t="s">
        <v>81</v>
      </c>
      <c r="B52" s="288">
        <f aca="true" t="shared" si="15" ref="B52:P52">SUBTOTAL(9,B49:B51)</f>
        <v>1</v>
      </c>
      <c r="C52" s="283">
        <f t="shared" si="15"/>
        <v>468022.0381622513</v>
      </c>
      <c r="D52" s="283">
        <f t="shared" si="7"/>
        <v>468022.03816225124</v>
      </c>
      <c r="E52" s="284">
        <f t="shared" si="15"/>
        <v>35789.350850037066</v>
      </c>
      <c r="F52" s="284">
        <f t="shared" si="15"/>
        <v>37838.014604892756</v>
      </c>
      <c r="G52" s="284">
        <f t="shared" si="15"/>
        <v>47995.34662936018</v>
      </c>
      <c r="H52" s="284">
        <f t="shared" si="15"/>
        <v>36470.86526077915</v>
      </c>
      <c r="I52" s="284">
        <f t="shared" si="15"/>
        <v>35851.097995545155</v>
      </c>
      <c r="J52" s="284">
        <f t="shared" si="15"/>
        <v>61476.617700015515</v>
      </c>
      <c r="K52" s="284">
        <f t="shared" si="15"/>
        <v>35401.539438200794</v>
      </c>
      <c r="L52" s="284">
        <f t="shared" si="15"/>
        <v>30950.943205009076</v>
      </c>
      <c r="M52" s="284">
        <f t="shared" si="15"/>
        <v>51727.069933569124</v>
      </c>
      <c r="N52" s="284">
        <f t="shared" si="15"/>
        <v>39022.47180033534</v>
      </c>
      <c r="O52" s="284">
        <f t="shared" si="15"/>
        <v>55498.72074450708</v>
      </c>
      <c r="P52" s="296">
        <f t="shared" si="15"/>
        <v>0</v>
      </c>
      <c r="S52" s="467">
        <f>S$20*$B52</f>
        <v>0</v>
      </c>
    </row>
    <row r="53" spans="1:19" ht="15.75" collapsed="1" thickBot="1">
      <c r="A53" s="209" t="s">
        <v>31</v>
      </c>
      <c r="B53" s="297">
        <f>'County One Time Input-BASE'!F51</f>
        <v>0</v>
      </c>
      <c r="C53" s="298">
        <f>B53*C$14</f>
        <v>0</v>
      </c>
      <c r="D53" s="278">
        <f t="shared" si="7"/>
        <v>0</v>
      </c>
      <c r="E53" s="300">
        <f aca="true" t="shared" si="16" ref="E53:P53">E$14*$B53</f>
        <v>0</v>
      </c>
      <c r="F53" s="300">
        <f t="shared" si="16"/>
        <v>0</v>
      </c>
      <c r="G53" s="300">
        <f t="shared" si="16"/>
        <v>0</v>
      </c>
      <c r="H53" s="300">
        <f t="shared" si="16"/>
        <v>0</v>
      </c>
      <c r="I53" s="300">
        <f t="shared" si="16"/>
        <v>0</v>
      </c>
      <c r="J53" s="300">
        <f t="shared" si="16"/>
        <v>0</v>
      </c>
      <c r="K53" s="300">
        <f t="shared" si="16"/>
        <v>0</v>
      </c>
      <c r="L53" s="300">
        <f t="shared" si="16"/>
        <v>0</v>
      </c>
      <c r="M53" s="300">
        <f t="shared" si="16"/>
        <v>0</v>
      </c>
      <c r="N53" s="300">
        <f t="shared" si="16"/>
        <v>0</v>
      </c>
      <c r="O53" s="300">
        <f t="shared" si="16"/>
        <v>0</v>
      </c>
      <c r="P53" s="301">
        <f t="shared" si="16"/>
        <v>0</v>
      </c>
      <c r="S53" s="420">
        <f>S$20*'County One Time Input-GROWTH'!F45</f>
        <v>0</v>
      </c>
    </row>
    <row r="54" spans="1:19" ht="15.75" thickBot="1">
      <c r="A54" s="55" t="s">
        <v>95</v>
      </c>
      <c r="B54" s="56">
        <f aca="true" t="shared" si="17" ref="B54:P54">+B25+B26+B27+B28+B29+B30+B46+B47+B53</f>
        <v>1</v>
      </c>
      <c r="C54" s="65">
        <f t="shared" si="17"/>
        <v>15965079.648360003</v>
      </c>
      <c r="D54" s="65">
        <f t="shared" si="17"/>
        <v>15965079.648360003</v>
      </c>
      <c r="E54" s="145">
        <f t="shared" si="17"/>
        <v>1220839.5979119677</v>
      </c>
      <c r="F54" s="145">
        <f t="shared" si="17"/>
        <v>1290723.2302028912</v>
      </c>
      <c r="G54" s="145">
        <f t="shared" si="17"/>
        <v>1637208.2278372177</v>
      </c>
      <c r="H54" s="145">
        <f t="shared" si="17"/>
        <v>1244087.2891782294</v>
      </c>
      <c r="I54" s="145">
        <f t="shared" si="17"/>
        <v>1222945.9049140192</v>
      </c>
      <c r="J54" s="145">
        <f t="shared" si="17"/>
        <v>2097078.8083963518</v>
      </c>
      <c r="K54" s="145">
        <f t="shared" si="17"/>
        <v>1207610.6480470842</v>
      </c>
      <c r="L54" s="145">
        <f t="shared" si="17"/>
        <v>1055792.7472819835</v>
      </c>
      <c r="M54" s="145">
        <f t="shared" si="17"/>
        <v>1764504.0705955513</v>
      </c>
      <c r="N54" s="145">
        <f t="shared" si="17"/>
        <v>1331127.211048679</v>
      </c>
      <c r="O54" s="145">
        <f t="shared" si="17"/>
        <v>1893161.9129460247</v>
      </c>
      <c r="P54" s="146">
        <f t="shared" si="17"/>
        <v>0</v>
      </c>
      <c r="S54" s="468">
        <f>+S25+S26+S27+S28+S29+S30+S46+S47+S53</f>
        <v>0</v>
      </c>
    </row>
    <row r="57" spans="1:4" ht="15">
      <c r="A57" t="s">
        <v>43</v>
      </c>
      <c r="C57" s="39">
        <f>C15</f>
        <v>7712595.347460557</v>
      </c>
      <c r="D57" s="39"/>
    </row>
    <row r="58" ht="15.75" thickBot="1"/>
    <row r="59" spans="1:19" ht="60.75" thickBot="1">
      <c r="A59" s="335" t="s">
        <v>37</v>
      </c>
      <c r="B59" s="334" t="str">
        <f>CONCATENATE('County One Time Input-BASE'!C2," County % Distribution (PROG/TOT BH)")</f>
        <v>San Mateo County % Distribution (PROG/TOT BH)</v>
      </c>
      <c r="C59" s="334" t="str">
        <f>CONCATENATE('County One Time Input-BASE'!C2," County Portion (Distribution to Programs)")</f>
        <v>San Mateo County Portion (Distribution to Programs)</v>
      </c>
      <c r="D59" s="57" t="str">
        <f>D3</f>
        <v>RECEIPTS THROUGH JULY</v>
      </c>
      <c r="E59" s="27" t="s">
        <v>7</v>
      </c>
      <c r="F59" s="27" t="s">
        <v>8</v>
      </c>
      <c r="G59" s="27" t="s">
        <v>9</v>
      </c>
      <c r="H59" s="27" t="s">
        <v>10</v>
      </c>
      <c r="I59" s="27" t="s">
        <v>11</v>
      </c>
      <c r="J59" s="27" t="s">
        <v>12</v>
      </c>
      <c r="K59" s="27" t="s">
        <v>13</v>
      </c>
      <c r="L59" s="27" t="s">
        <v>14</v>
      </c>
      <c r="M59" s="27" t="s">
        <v>15</v>
      </c>
      <c r="N59" s="27" t="s">
        <v>16</v>
      </c>
      <c r="O59" s="27" t="s">
        <v>17</v>
      </c>
      <c r="P59" s="28" t="s">
        <v>18</v>
      </c>
      <c r="S59" s="414" t="s">
        <v>181</v>
      </c>
    </row>
    <row r="60" spans="1:19" ht="4.5" customHeight="1" thickBot="1">
      <c r="A60" s="40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S60" s="415"/>
    </row>
    <row r="61" spans="1:19" ht="15">
      <c r="A61" s="302" t="s">
        <v>44</v>
      </c>
      <c r="B61" s="303">
        <f>'County One Time Input-BASE'!F60</f>
        <v>0.2029597891992356</v>
      </c>
      <c r="C61" s="304">
        <f>C$57*B61</f>
        <v>1565346.7258996</v>
      </c>
      <c r="D61" s="273">
        <f>SUM(E61:P61)+S61</f>
        <v>1565346.73</v>
      </c>
      <c r="E61" s="274">
        <f>ROUND(E$15*$B61,2)</f>
        <v>119644.06</v>
      </c>
      <c r="F61" s="274">
        <f aca="true" t="shared" si="18" ref="F61:P61">ROUND(F$15*$B61,2)</f>
        <v>126532.48</v>
      </c>
      <c r="G61" s="274">
        <f t="shared" si="18"/>
        <v>160685.47</v>
      </c>
      <c r="H61" s="274">
        <f t="shared" si="18"/>
        <v>121935.58</v>
      </c>
      <c r="I61" s="274">
        <f t="shared" si="18"/>
        <v>119851.67</v>
      </c>
      <c r="J61" s="274">
        <f t="shared" si="18"/>
        <v>206014.86</v>
      </c>
      <c r="K61" s="274">
        <f t="shared" si="18"/>
        <v>118340.08</v>
      </c>
      <c r="L61" s="274">
        <f t="shared" si="18"/>
        <v>103375.41</v>
      </c>
      <c r="M61" s="274">
        <f t="shared" si="18"/>
        <v>173233</v>
      </c>
      <c r="N61" s="274">
        <f t="shared" si="18"/>
        <v>130515.09</v>
      </c>
      <c r="O61" s="274">
        <f t="shared" si="18"/>
        <v>185219.03</v>
      </c>
      <c r="P61" s="275">
        <f t="shared" si="18"/>
        <v>0</v>
      </c>
      <c r="S61" s="416">
        <f>ROUND(S$15*$B61,2)</f>
        <v>0</v>
      </c>
    </row>
    <row r="62" spans="1:19" ht="15.75" hidden="1" outlineLevel="1">
      <c r="A62" s="281"/>
      <c r="B62" s="282" t="s">
        <v>71</v>
      </c>
      <c r="C62" s="283"/>
      <c r="D62" s="284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6"/>
      <c r="S62" s="418"/>
    </row>
    <row r="63" spans="1:19" ht="15" hidden="1" outlineLevel="1">
      <c r="A63" s="295" t="s">
        <v>63</v>
      </c>
      <c r="B63" s="288">
        <v>0.7344973076556713</v>
      </c>
      <c r="C63" s="283">
        <f>C$61*B63</f>
        <v>1149742.9557208763</v>
      </c>
      <c r="D63" s="284">
        <f>SUM(E63:P63)+S63</f>
        <v>1149742.9587326092</v>
      </c>
      <c r="E63" s="285">
        <f aca="true" t="shared" si="19" ref="E63:P65">E$61*$B63</f>
        <v>87878.2399469936</v>
      </c>
      <c r="F63" s="285">
        <f t="shared" si="19"/>
        <v>92937.76589099508</v>
      </c>
      <c r="G63" s="285">
        <f t="shared" si="19"/>
        <v>118023.04509438615</v>
      </c>
      <c r="H63" s="285">
        <f t="shared" si="19"/>
        <v>89561.35521743272</v>
      </c>
      <c r="I63" s="285">
        <f t="shared" si="19"/>
        <v>88030.72893303599</v>
      </c>
      <c r="J63" s="285">
        <f t="shared" si="19"/>
        <v>151317.36000706005</v>
      </c>
      <c r="K63" s="285">
        <f t="shared" si="19"/>
        <v>86920.47014775676</v>
      </c>
      <c r="L63" s="285">
        <f t="shared" si="19"/>
        <v>75928.96032280117</v>
      </c>
      <c r="M63" s="285">
        <f t="shared" si="19"/>
        <v>127239.17209711492</v>
      </c>
      <c r="N63" s="285">
        <f t="shared" si="19"/>
        <v>95862.98221343763</v>
      </c>
      <c r="O63" s="285">
        <f t="shared" si="19"/>
        <v>136042.87886159503</v>
      </c>
      <c r="P63" s="286">
        <f t="shared" si="19"/>
        <v>0</v>
      </c>
      <c r="S63" s="418">
        <f>S$61*$B63</f>
        <v>0</v>
      </c>
    </row>
    <row r="64" spans="1:19" ht="15" hidden="1" outlineLevel="1">
      <c r="A64" s="295" t="s">
        <v>64</v>
      </c>
      <c r="B64" s="288">
        <v>0.11505079313494221</v>
      </c>
      <c r="C64" s="283">
        <f>$C$61*B64</f>
        <v>180094.38234593396</v>
      </c>
      <c r="D64" s="284">
        <f>SUM(E64:P64)+S64</f>
        <v>180094.38281768822</v>
      </c>
      <c r="E64" s="285">
        <f t="shared" si="19"/>
        <v>13765.143996884613</v>
      </c>
      <c r="F64" s="285">
        <f t="shared" si="19"/>
        <v>14557.662181331212</v>
      </c>
      <c r="G64" s="285">
        <f t="shared" si="19"/>
        <v>18486.990768760963</v>
      </c>
      <c r="H64" s="285">
        <f t="shared" si="19"/>
        <v>14028.785190369197</v>
      </c>
      <c r="I64" s="285">
        <f t="shared" si="19"/>
        <v>13789.02969204736</v>
      </c>
      <c r="J64" s="285">
        <f t="shared" si="19"/>
        <v>23702.17304058408</v>
      </c>
      <c r="K64" s="285">
        <f t="shared" si="19"/>
        <v>13615.120063652512</v>
      </c>
      <c r="L64" s="285">
        <f t="shared" si="19"/>
        <v>11893.422911149837</v>
      </c>
      <c r="M64" s="285">
        <f t="shared" si="19"/>
        <v>19930.594047145445</v>
      </c>
      <c r="N64" s="285">
        <f t="shared" si="19"/>
        <v>15015.864620578364</v>
      </c>
      <c r="O64" s="285">
        <f t="shared" si="19"/>
        <v>21309.596305184656</v>
      </c>
      <c r="P64" s="286">
        <f t="shared" si="19"/>
        <v>0</v>
      </c>
      <c r="S64" s="418">
        <f>S$61*$B64</f>
        <v>0</v>
      </c>
    </row>
    <row r="65" spans="1:19" ht="15" hidden="1" outlineLevel="1">
      <c r="A65" s="295" t="s">
        <v>65</v>
      </c>
      <c r="B65" s="288">
        <v>0.1504518992093865</v>
      </c>
      <c r="C65" s="283">
        <f>$C$61*B65</f>
        <v>235509.38783278977</v>
      </c>
      <c r="D65" s="284">
        <f>SUM(E65:P65)+S65</f>
        <v>235509.38844970273</v>
      </c>
      <c r="E65" s="285">
        <f t="shared" si="19"/>
        <v>18000.676056121792</v>
      </c>
      <c r="F65" s="285">
        <f t="shared" si="19"/>
        <v>19037.051927673714</v>
      </c>
      <c r="G65" s="285">
        <f t="shared" si="19"/>
        <v>24175.4341368529</v>
      </c>
      <c r="H65" s="285">
        <f t="shared" si="19"/>
        <v>18345.439592198087</v>
      </c>
      <c r="I65" s="285">
        <f t="shared" si="19"/>
        <v>18031.911374916654</v>
      </c>
      <c r="J65" s="285">
        <f t="shared" si="19"/>
        <v>30995.32695235587</v>
      </c>
      <c r="K65" s="285">
        <f t="shared" si="19"/>
        <v>17804.489788590738</v>
      </c>
      <c r="L65" s="285">
        <f t="shared" si="19"/>
        <v>15553.026766049006</v>
      </c>
      <c r="M65" s="285">
        <f t="shared" si="19"/>
        <v>26063.233855739654</v>
      </c>
      <c r="N65" s="285">
        <f t="shared" si="19"/>
        <v>19636.243165984008</v>
      </c>
      <c r="O65" s="285">
        <f t="shared" si="19"/>
        <v>27866.554833220336</v>
      </c>
      <c r="P65" s="286">
        <f t="shared" si="19"/>
        <v>0</v>
      </c>
      <c r="S65" s="418">
        <f>S$61*$B65</f>
        <v>0</v>
      </c>
    </row>
    <row r="66" spans="1:19" ht="15" hidden="1" outlineLevel="1">
      <c r="A66" s="289" t="s">
        <v>77</v>
      </c>
      <c r="B66" s="288">
        <f aca="true" t="shared" si="20" ref="B66:P66">SUBTOTAL(9,B63:B65)</f>
        <v>1</v>
      </c>
      <c r="C66" s="283">
        <f t="shared" si="20"/>
        <v>1565346.7258996</v>
      </c>
      <c r="D66" s="284">
        <f>SUM(E66:P66)+S66</f>
        <v>1565346.7300000002</v>
      </c>
      <c r="E66" s="283">
        <f t="shared" si="20"/>
        <v>119644.06000000001</v>
      </c>
      <c r="F66" s="283">
        <f t="shared" si="20"/>
        <v>126532.48000000001</v>
      </c>
      <c r="G66" s="283">
        <f t="shared" si="20"/>
        <v>160685.47000000003</v>
      </c>
      <c r="H66" s="283">
        <f t="shared" si="20"/>
        <v>121935.58</v>
      </c>
      <c r="I66" s="283">
        <f t="shared" si="20"/>
        <v>119851.67000000001</v>
      </c>
      <c r="J66" s="283">
        <f t="shared" si="20"/>
        <v>206014.86</v>
      </c>
      <c r="K66" s="283">
        <f t="shared" si="20"/>
        <v>118340.08000000002</v>
      </c>
      <c r="L66" s="283">
        <f t="shared" si="20"/>
        <v>103375.41000000002</v>
      </c>
      <c r="M66" s="283">
        <f t="shared" si="20"/>
        <v>173233</v>
      </c>
      <c r="N66" s="283">
        <f t="shared" si="20"/>
        <v>130515.09</v>
      </c>
      <c r="O66" s="283">
        <f t="shared" si="20"/>
        <v>185219.03000000003</v>
      </c>
      <c r="P66" s="305">
        <f t="shared" si="20"/>
        <v>0</v>
      </c>
      <c r="S66" s="419">
        <f>SUBTOTAL(9,S63:S65)</f>
        <v>0</v>
      </c>
    </row>
    <row r="67" spans="1:19" ht="15.75" collapsed="1" thickBot="1">
      <c r="A67" s="306" t="s">
        <v>45</v>
      </c>
      <c r="B67" s="307">
        <f>'County One Time Input-BASE'!F61</f>
        <v>0.7970402108007644</v>
      </c>
      <c r="C67" s="308">
        <f>C$57*B67</f>
        <v>6147248.621560956</v>
      </c>
      <c r="D67" s="299">
        <f>SUM(E67:P67)+S67</f>
        <v>6147248.610000001</v>
      </c>
      <c r="E67" s="300">
        <f>ROUND(E$15*$B67,2)</f>
        <v>469852.3</v>
      </c>
      <c r="F67" s="300">
        <f aca="true" t="shared" si="21" ref="F67:P67">ROUND(F$15*$B67,2)</f>
        <v>496903.71</v>
      </c>
      <c r="G67" s="300">
        <f t="shared" si="21"/>
        <v>631025.38</v>
      </c>
      <c r="H67" s="300">
        <f t="shared" si="21"/>
        <v>478851.3</v>
      </c>
      <c r="I67" s="300">
        <f t="shared" si="21"/>
        <v>470667.63</v>
      </c>
      <c r="J67" s="300">
        <f t="shared" si="21"/>
        <v>809037.74</v>
      </c>
      <c r="K67" s="300">
        <f t="shared" si="21"/>
        <v>464731.48</v>
      </c>
      <c r="L67" s="300">
        <f t="shared" si="21"/>
        <v>405963.94</v>
      </c>
      <c r="M67" s="300">
        <f t="shared" si="21"/>
        <v>680300.62</v>
      </c>
      <c r="N67" s="300">
        <f t="shared" si="21"/>
        <v>512543.78</v>
      </c>
      <c r="O67" s="300">
        <f t="shared" si="21"/>
        <v>727370.73</v>
      </c>
      <c r="P67" s="301">
        <f t="shared" si="21"/>
        <v>0</v>
      </c>
      <c r="S67" s="420">
        <f>ROUND(S$15*$B67,2)</f>
        <v>0</v>
      </c>
    </row>
    <row r="68" spans="1:16" ht="16.5" hidden="1" outlineLevel="1" thickBot="1">
      <c r="A68" s="68"/>
      <c r="B68" s="69" t="s">
        <v>74</v>
      </c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1:16" ht="15.75" hidden="1" outlineLevel="1" thickBot="1">
      <c r="A69" s="79" t="s">
        <v>66</v>
      </c>
      <c r="B69" s="74">
        <v>0.7481581936531475</v>
      </c>
      <c r="C69" s="75">
        <f>$C$67*B69</f>
        <v>4599114.424643846</v>
      </c>
      <c r="D69" s="76">
        <f>SUM(E69:P69)+S69</f>
        <v>4599114.415994422</v>
      </c>
      <c r="E69" s="77">
        <f aca="true" t="shared" si="22" ref="E69:P69">E$67*$B69</f>
        <v>351523.84805177676</v>
      </c>
      <c r="F69" s="77">
        <f t="shared" si="22"/>
        <v>371762.58209314744</v>
      </c>
      <c r="G69" s="77">
        <f t="shared" si="22"/>
        <v>472106.808450091</v>
      </c>
      <c r="H69" s="77">
        <f t="shared" si="22"/>
        <v>358256.5236364614</v>
      </c>
      <c r="I69" s="77">
        <f t="shared" si="22"/>
        <v>352133.84387180797</v>
      </c>
      <c r="J69" s="77">
        <f t="shared" si="22"/>
        <v>605288.2141556249</v>
      </c>
      <c r="K69" s="77">
        <f t="shared" si="22"/>
        <v>347692.6646105538</v>
      </c>
      <c r="L69" s="77">
        <f t="shared" si="22"/>
        <v>303725.24803871475</v>
      </c>
      <c r="M69" s="77">
        <f t="shared" si="22"/>
        <v>508972.4830003163</v>
      </c>
      <c r="N69" s="77">
        <f t="shared" si="22"/>
        <v>383463.8286129563</v>
      </c>
      <c r="O69" s="77">
        <f t="shared" si="22"/>
        <v>544188.3714729713</v>
      </c>
      <c r="P69" s="78">
        <f t="shared" si="22"/>
        <v>0</v>
      </c>
    </row>
    <row r="70" spans="1:16" s="134" customFormat="1" ht="15.75" hidden="1" outlineLevel="2" thickBot="1">
      <c r="A70" s="90"/>
      <c r="B70" s="88" t="s">
        <v>75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1"/>
    </row>
    <row r="71" spans="1:16" s="134" customFormat="1" ht="15.75" hidden="1" outlineLevel="2" thickBot="1">
      <c r="A71" s="92" t="s">
        <v>68</v>
      </c>
      <c r="B71" s="86">
        <v>0.029538024408195404</v>
      </c>
      <c r="C71" s="87">
        <f>C$69*$B71</f>
        <v>135848.7541312135</v>
      </c>
      <c r="D71" s="85">
        <f>SUM(E71:P71)+S71</f>
        <v>135848.75387572657</v>
      </c>
      <c r="E71" s="87">
        <f aca="true" t="shared" si="23" ref="E71:P73">E$69*$B71</f>
        <v>10383.320003816154</v>
      </c>
      <c r="F71" s="87">
        <f t="shared" si="23"/>
        <v>10981.132223921137</v>
      </c>
      <c r="G71" s="87">
        <f t="shared" si="23"/>
        <v>13945.10243127402</v>
      </c>
      <c r="H71" s="87">
        <f t="shared" si="23"/>
        <v>10582.18993956903</v>
      </c>
      <c r="I71" s="87">
        <f t="shared" si="23"/>
        <v>10401.338075237134</v>
      </c>
      <c r="J71" s="87">
        <f t="shared" si="23"/>
        <v>17879.018043721855</v>
      </c>
      <c r="K71" s="87">
        <f t="shared" si="23"/>
        <v>10270.154413817037</v>
      </c>
      <c r="L71" s="87">
        <f t="shared" si="23"/>
        <v>8971.44378995276</v>
      </c>
      <c r="M71" s="87">
        <f t="shared" si="23"/>
        <v>15034.041625963164</v>
      </c>
      <c r="N71" s="87">
        <f t="shared" si="23"/>
        <v>11326.763929229563</v>
      </c>
      <c r="O71" s="87">
        <f t="shared" si="23"/>
        <v>16074.249399224733</v>
      </c>
      <c r="P71" s="93">
        <f t="shared" si="23"/>
        <v>0</v>
      </c>
    </row>
    <row r="72" spans="1:16" s="134" customFormat="1" ht="15.75" hidden="1" outlineLevel="2" thickBot="1">
      <c r="A72" s="92" t="s">
        <v>69</v>
      </c>
      <c r="B72" s="86">
        <v>0.04578847371754275</v>
      </c>
      <c r="C72" s="87">
        <f>C$69*$B72</f>
        <v>210586.4299567765</v>
      </c>
      <c r="D72" s="85">
        <f>SUM(E72:P72)+S72</f>
        <v>210586.42956073256</v>
      </c>
      <c r="E72" s="87">
        <f t="shared" si="23"/>
        <v>16095.740477608271</v>
      </c>
      <c r="F72" s="87">
        <f t="shared" si="23"/>
        <v>17022.44121933791</v>
      </c>
      <c r="G72" s="87">
        <f t="shared" si="23"/>
        <v>21617.05019058998</v>
      </c>
      <c r="H72" s="87">
        <f t="shared" si="23"/>
        <v>16404.019416666346</v>
      </c>
      <c r="I72" s="87">
        <f t="shared" si="23"/>
        <v>16123.671255181582</v>
      </c>
      <c r="J72" s="87">
        <f t="shared" si="23"/>
        <v>27715.223485403218</v>
      </c>
      <c r="K72" s="87">
        <f t="shared" si="23"/>
        <v>15920.31643530275</v>
      </c>
      <c r="L72" s="87">
        <f t="shared" si="23"/>
        <v>13907.115537174843</v>
      </c>
      <c r="M72" s="87">
        <f t="shared" si="23"/>
        <v>23305.07316081246</v>
      </c>
      <c r="N72" s="87">
        <f t="shared" si="23"/>
        <v>17558.223438072666</v>
      </c>
      <c r="O72" s="87">
        <f t="shared" si="23"/>
        <v>24917.554944582538</v>
      </c>
      <c r="P72" s="93">
        <f t="shared" si="23"/>
        <v>0</v>
      </c>
    </row>
    <row r="73" spans="1:16" s="134" customFormat="1" ht="15.75" hidden="1" outlineLevel="2" thickBot="1">
      <c r="A73" s="96" t="s">
        <v>70</v>
      </c>
      <c r="B73" s="97">
        <v>0.9246735018742619</v>
      </c>
      <c r="C73" s="98">
        <f>C$69*$B73</f>
        <v>4252679.240555856</v>
      </c>
      <c r="D73" s="85">
        <f>SUM(E73:P73)+S73</f>
        <v>4252679.232557964</v>
      </c>
      <c r="E73" s="98">
        <f t="shared" si="23"/>
        <v>325044.7875703524</v>
      </c>
      <c r="F73" s="98">
        <f t="shared" si="23"/>
        <v>343759.0086498884</v>
      </c>
      <c r="G73" s="98">
        <f t="shared" si="23"/>
        <v>436544.655828227</v>
      </c>
      <c r="H73" s="98">
        <f t="shared" si="23"/>
        <v>331270.31428022607</v>
      </c>
      <c r="I73" s="98">
        <f t="shared" si="23"/>
        <v>325608.83454138925</v>
      </c>
      <c r="J73" s="98">
        <f t="shared" si="23"/>
        <v>559693.9726264998</v>
      </c>
      <c r="K73" s="98">
        <f t="shared" si="23"/>
        <v>321502.19376143406</v>
      </c>
      <c r="L73" s="98">
        <f t="shared" si="23"/>
        <v>280846.68871158717</v>
      </c>
      <c r="M73" s="98">
        <f t="shared" si="23"/>
        <v>470633.3682135407</v>
      </c>
      <c r="N73" s="98">
        <f t="shared" si="23"/>
        <v>354578.84124565404</v>
      </c>
      <c r="O73" s="98">
        <f t="shared" si="23"/>
        <v>503196.56712916406</v>
      </c>
      <c r="P73" s="99">
        <f t="shared" si="23"/>
        <v>0</v>
      </c>
    </row>
    <row r="74" spans="1:16" s="134" customFormat="1" ht="15.75" hidden="1" outlineLevel="2" thickBot="1">
      <c r="A74" s="94" t="s">
        <v>76</v>
      </c>
      <c r="B74" s="95">
        <f aca="true" t="shared" si="24" ref="B74:P74">SUM(B71:B73)</f>
        <v>1</v>
      </c>
      <c r="C74" s="100">
        <f t="shared" si="24"/>
        <v>4599114.424643846</v>
      </c>
      <c r="D74" s="100">
        <f t="shared" si="24"/>
        <v>4599114.4159944225</v>
      </c>
      <c r="E74" s="100">
        <f t="shared" si="24"/>
        <v>351523.8480517768</v>
      </c>
      <c r="F74" s="100">
        <f t="shared" si="24"/>
        <v>371762.58209314744</v>
      </c>
      <c r="G74" s="100">
        <f t="shared" si="24"/>
        <v>472106.808450091</v>
      </c>
      <c r="H74" s="100">
        <f t="shared" si="24"/>
        <v>358256.52363646147</v>
      </c>
      <c r="I74" s="100">
        <f t="shared" si="24"/>
        <v>352133.84387180797</v>
      </c>
      <c r="J74" s="100">
        <f t="shared" si="24"/>
        <v>605288.2141556249</v>
      </c>
      <c r="K74" s="100">
        <f t="shared" si="24"/>
        <v>347692.6646105538</v>
      </c>
      <c r="L74" s="100">
        <f t="shared" si="24"/>
        <v>303725.24803871475</v>
      </c>
      <c r="M74" s="100">
        <f t="shared" si="24"/>
        <v>508972.4830003163</v>
      </c>
      <c r="N74" s="100">
        <f t="shared" si="24"/>
        <v>383463.8286129563</v>
      </c>
      <c r="O74" s="100">
        <f t="shared" si="24"/>
        <v>544188.3714729713</v>
      </c>
      <c r="P74" s="101">
        <f t="shared" si="24"/>
        <v>0</v>
      </c>
    </row>
    <row r="75" spans="1:16" ht="15.75" hidden="1" outlineLevel="1" collapsed="1" thickBot="1">
      <c r="A75" s="79" t="s">
        <v>67</v>
      </c>
      <c r="B75" s="74">
        <v>0.2518418063468525</v>
      </c>
      <c r="C75" s="75">
        <f>$C$67*B75</f>
        <v>1548134.1969171104</v>
      </c>
      <c r="D75" s="76">
        <f>SUM(E75:P75)+S75</f>
        <v>1548134.1940055783</v>
      </c>
      <c r="E75" s="77">
        <f aca="true" t="shared" si="25" ref="E75:P75">E$67*$B75</f>
        <v>118328.45194822324</v>
      </c>
      <c r="F75" s="77">
        <f t="shared" si="25"/>
        <v>125141.12790685256</v>
      </c>
      <c r="G75" s="77">
        <f t="shared" si="25"/>
        <v>158918.57154990901</v>
      </c>
      <c r="H75" s="77">
        <f t="shared" si="25"/>
        <v>120594.77636353856</v>
      </c>
      <c r="I75" s="77">
        <f t="shared" si="25"/>
        <v>118533.78612819202</v>
      </c>
      <c r="J75" s="77">
        <f t="shared" si="25"/>
        <v>203749.5258443752</v>
      </c>
      <c r="K75" s="77">
        <f t="shared" si="25"/>
        <v>117038.81538944614</v>
      </c>
      <c r="L75" s="77">
        <f t="shared" si="25"/>
        <v>102238.69196128525</v>
      </c>
      <c r="M75" s="77">
        <f t="shared" si="25"/>
        <v>171328.1369996837</v>
      </c>
      <c r="N75" s="77">
        <f t="shared" si="25"/>
        <v>129079.95138704378</v>
      </c>
      <c r="O75" s="77">
        <f t="shared" si="25"/>
        <v>183182.35852702873</v>
      </c>
      <c r="P75" s="78">
        <f t="shared" si="25"/>
        <v>0</v>
      </c>
    </row>
    <row r="76" spans="1:16" ht="15.75" hidden="1" outlineLevel="1" thickBot="1">
      <c r="A76" s="102" t="s">
        <v>78</v>
      </c>
      <c r="B76" s="80">
        <f>B69+B75</f>
        <v>1</v>
      </c>
      <c r="C76" s="70">
        <f aca="true" t="shared" si="26" ref="C76:P76">+C69+C75</f>
        <v>6147248.621560956</v>
      </c>
      <c r="D76" s="70">
        <f>+D69+D75</f>
        <v>6147248.609999999</v>
      </c>
      <c r="E76" s="70">
        <f t="shared" si="26"/>
        <v>469852.3</v>
      </c>
      <c r="F76" s="70">
        <f t="shared" si="26"/>
        <v>496903.71</v>
      </c>
      <c r="G76" s="70">
        <f t="shared" si="26"/>
        <v>631025.38</v>
      </c>
      <c r="H76" s="70">
        <f t="shared" si="26"/>
        <v>478851.3</v>
      </c>
      <c r="I76" s="70">
        <f t="shared" si="26"/>
        <v>470667.63</v>
      </c>
      <c r="J76" s="70">
        <f t="shared" si="26"/>
        <v>809037.74</v>
      </c>
      <c r="K76" s="70">
        <f t="shared" si="26"/>
        <v>464731.48</v>
      </c>
      <c r="L76" s="70">
        <f t="shared" si="26"/>
        <v>405963.94</v>
      </c>
      <c r="M76" s="70">
        <f t="shared" si="26"/>
        <v>680300.62</v>
      </c>
      <c r="N76" s="70">
        <f t="shared" si="26"/>
        <v>512543.78</v>
      </c>
      <c r="O76" s="70">
        <f t="shared" si="26"/>
        <v>727370.73</v>
      </c>
      <c r="P76" s="81">
        <f t="shared" si="26"/>
        <v>0</v>
      </c>
    </row>
    <row r="77" spans="1:19" ht="15.75" collapsed="1" thickBot="1">
      <c r="A77" s="55" t="s">
        <v>79</v>
      </c>
      <c r="B77" s="51">
        <f aca="true" t="shared" si="27" ref="B77:P77">B61+B67</f>
        <v>1</v>
      </c>
      <c r="C77" s="59">
        <f t="shared" si="27"/>
        <v>7712595.347460557</v>
      </c>
      <c r="D77" s="59">
        <f t="shared" si="27"/>
        <v>7712595.340000002</v>
      </c>
      <c r="E77" s="224">
        <f t="shared" si="27"/>
        <v>589496.36</v>
      </c>
      <c r="F77" s="224">
        <f t="shared" si="27"/>
        <v>623436.1900000001</v>
      </c>
      <c r="G77" s="224">
        <f t="shared" si="27"/>
        <v>791710.85</v>
      </c>
      <c r="H77" s="224">
        <f t="shared" si="27"/>
        <v>600786.88</v>
      </c>
      <c r="I77" s="224">
        <f t="shared" si="27"/>
        <v>590519.3</v>
      </c>
      <c r="J77" s="224">
        <f t="shared" si="27"/>
        <v>1015052.6</v>
      </c>
      <c r="K77" s="224">
        <f t="shared" si="27"/>
        <v>583071.5599999999</v>
      </c>
      <c r="L77" s="224">
        <f t="shared" si="27"/>
        <v>509339.35</v>
      </c>
      <c r="M77" s="224">
        <f t="shared" si="27"/>
        <v>853533.62</v>
      </c>
      <c r="N77" s="224">
        <f t="shared" si="27"/>
        <v>643058.87</v>
      </c>
      <c r="O77" s="224">
        <f t="shared" si="27"/>
        <v>912589.76</v>
      </c>
      <c r="P77" s="225">
        <f t="shared" si="27"/>
        <v>0</v>
      </c>
      <c r="S77" s="469">
        <f>S61+S67</f>
        <v>0</v>
      </c>
    </row>
    <row r="80" spans="1:3" ht="15">
      <c r="A80" t="s">
        <v>47</v>
      </c>
      <c r="C80" s="39">
        <f>C16</f>
        <v>0</v>
      </c>
    </row>
    <row r="81" ht="15.75" thickBot="1"/>
    <row r="82" spans="1:16" ht="15.75" thickBot="1">
      <c r="A82" s="55" t="s">
        <v>23</v>
      </c>
      <c r="B82" s="226">
        <v>1</v>
      </c>
      <c r="C82" s="62">
        <f>+C80*B82</f>
        <v>0</v>
      </c>
      <c r="D82" s="66">
        <f>SUM(E82:P82)</f>
        <v>0</v>
      </c>
      <c r="E82" s="63">
        <f aca="true" t="shared" si="28" ref="E82:P82">E16*$B82</f>
        <v>0</v>
      </c>
      <c r="F82" s="63">
        <f t="shared" si="28"/>
        <v>0</v>
      </c>
      <c r="G82" s="63">
        <f t="shared" si="28"/>
        <v>0</v>
      </c>
      <c r="H82" s="63">
        <f t="shared" si="28"/>
        <v>0</v>
      </c>
      <c r="I82" s="63">
        <f t="shared" si="28"/>
        <v>0</v>
      </c>
      <c r="J82" s="63">
        <f t="shared" si="28"/>
        <v>0</v>
      </c>
      <c r="K82" s="63">
        <f t="shared" si="28"/>
        <v>0</v>
      </c>
      <c r="L82" s="63">
        <f t="shared" si="28"/>
        <v>0</v>
      </c>
      <c r="M82" s="63">
        <f t="shared" si="28"/>
        <v>0</v>
      </c>
      <c r="N82" s="63">
        <f t="shared" si="28"/>
        <v>0</v>
      </c>
      <c r="O82" s="63">
        <f t="shared" si="28"/>
        <v>0</v>
      </c>
      <c r="P82" s="64">
        <f t="shared" si="28"/>
        <v>0</v>
      </c>
    </row>
  </sheetData>
  <sheetProtection/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6" r:id="rId2" display="Behavioral Health"/>
    <hyperlink ref="A7" r:id="rId3" display="WCRTS"/>
    <hyperlink ref="A14" r:id="rId4" display="PROTECTIVE SERVICES"/>
    <hyperlink ref="A15" r:id="rId5" display="Behavioral Health"/>
    <hyperlink ref="A16" r:id="rId6" display="WCRTS"/>
  </hyperlinks>
  <printOptions/>
  <pageMargins left="0.5" right="0.5" top="0.5" bottom="0.5" header="0.25" footer="0"/>
  <pageSetup fitToHeight="1" fitToWidth="1" horizontalDpi="600" verticalDpi="600" orientation="landscape" paperSize="5" scale="62" r:id="rId7"/>
  <headerFooter alignWithMargins="0">
    <oddHeader>&amp;C&amp;"Calibri,Bold"&amp;14&amp;A</oddHeader>
    <oddFooter>&amp;L&amp;Z&amp;F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G1">
      <selection activeCell="K29" sqref="K29"/>
    </sheetView>
  </sheetViews>
  <sheetFormatPr defaultColWidth="9.140625" defaultRowHeight="15" outlineLevelRow="1"/>
  <cols>
    <col min="1" max="1" width="30.140625" style="0" customWidth="1"/>
    <col min="2" max="3" width="16.140625" style="0" customWidth="1"/>
    <col min="4" max="4" width="19.00390625" style="0" bestFit="1" customWidth="1"/>
    <col min="5" max="6" width="13.7109375" style="0" bestFit="1" customWidth="1"/>
    <col min="7" max="7" width="12.7109375" style="0" customWidth="1"/>
    <col min="8" max="8" width="13.7109375" style="0" bestFit="1" customWidth="1"/>
    <col min="9" max="16" width="12.7109375" style="0" customWidth="1"/>
    <col min="17" max="17" width="16.00390625" style="0" customWidth="1"/>
    <col min="18" max="18" width="10.00390625" style="0" customWidth="1"/>
    <col min="19" max="19" width="16.28125" style="0" bestFit="1" customWidth="1"/>
  </cols>
  <sheetData>
    <row r="1" spans="1:19" ht="16.5" thickBot="1">
      <c r="A1" s="23" t="s">
        <v>19</v>
      </c>
      <c r="D1" s="255" t="str">
        <f>'Monthly Receipts Input'!D1</f>
        <v>JULY</v>
      </c>
      <c r="G1" s="24" t="s">
        <v>107</v>
      </c>
      <c r="Q1" s="378" t="s">
        <v>166</v>
      </c>
      <c r="R1" s="378"/>
      <c r="S1" s="442">
        <f>'County One Time Input-GROWTH'!D3</f>
        <v>0</v>
      </c>
    </row>
    <row r="2" spans="18:19" ht="15.75" thickBot="1">
      <c r="R2" s="457">
        <f>'Monthly Receipts Input'!R11</f>
        <v>0.35</v>
      </c>
      <c r="S2" s="447"/>
    </row>
    <row r="3" spans="1:19" s="29" customFormat="1" ht="30.75" thickBot="1">
      <c r="A3" s="249" t="s">
        <v>21</v>
      </c>
      <c r="B3" s="250" t="s">
        <v>42</v>
      </c>
      <c r="C3" s="248" t="s">
        <v>22</v>
      </c>
      <c r="D3" s="254" t="str">
        <f>CONCATENATE("RECEIPTS THROUGH"," ",D1)</f>
        <v>RECEIPTS THROUGH JULY</v>
      </c>
      <c r="E3" s="252" t="s">
        <v>7</v>
      </c>
      <c r="F3" s="252" t="s">
        <v>8</v>
      </c>
      <c r="G3" s="252" t="s">
        <v>9</v>
      </c>
      <c r="H3" s="252" t="s">
        <v>10</v>
      </c>
      <c r="I3" s="252" t="s">
        <v>11</v>
      </c>
      <c r="J3" s="252" t="s">
        <v>12</v>
      </c>
      <c r="K3" s="252" t="s">
        <v>13</v>
      </c>
      <c r="L3" s="252" t="s">
        <v>14</v>
      </c>
      <c r="M3" s="252" t="s">
        <v>15</v>
      </c>
      <c r="N3" s="252" t="s">
        <v>16</v>
      </c>
      <c r="O3" s="252" t="s">
        <v>17</v>
      </c>
      <c r="P3" s="253" t="s">
        <v>18</v>
      </c>
      <c r="R3" s="441" t="s">
        <v>184</v>
      </c>
      <c r="S3" s="441" t="s">
        <v>182</v>
      </c>
    </row>
    <row r="4" spans="1:19" ht="5.25" customHeight="1" thickBot="1">
      <c r="A4" s="120"/>
      <c r="B4" s="121"/>
      <c r="C4" s="129"/>
      <c r="D4" s="12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R4" s="474"/>
      <c r="S4" s="448"/>
    </row>
    <row r="5" spans="1:19" ht="15">
      <c r="A5" s="124" t="s">
        <v>85</v>
      </c>
      <c r="B5" s="8">
        <f>'County One Time Input-BASE'!C27</f>
        <v>0.3417207429032038</v>
      </c>
      <c r="C5" s="130">
        <f>'County One Time Input-BASE'!B27</f>
        <v>496429000</v>
      </c>
      <c r="D5" s="35">
        <f aca="true" t="shared" si="0" ref="D5:D11">SUM(E5:P5)+S5</f>
        <v>496429000.00000006</v>
      </c>
      <c r="E5" s="233">
        <f>'Monthly Receipts Input'!E14</f>
        <v>37961700.9</v>
      </c>
      <c r="F5" s="233">
        <f>'Monthly Receipts Input'!F14</f>
        <v>40134714.91</v>
      </c>
      <c r="G5" s="233">
        <f>'Monthly Receipts Input'!G14</f>
        <v>50908578.95</v>
      </c>
      <c r="H5" s="233">
        <f>'Monthly Receipts Input'!H14</f>
        <v>38684582.03</v>
      </c>
      <c r="I5" s="233">
        <f>'Monthly Receipts Input'!I14</f>
        <v>38027195.99</v>
      </c>
      <c r="J5" s="233">
        <f>'Monthly Receipts Input'!J14</f>
        <v>65208139.24</v>
      </c>
      <c r="K5" s="233">
        <f>'Monthly Receipts Input'!K14</f>
        <v>37550350.02</v>
      </c>
      <c r="L5" s="233">
        <f>'Monthly Receipts Input'!L14</f>
        <v>32829610.51</v>
      </c>
      <c r="M5" s="233">
        <f>'Monthly Receipts Input'!M14</f>
        <v>54866811.23</v>
      </c>
      <c r="N5" s="233">
        <f>'Monthly Receipts Input'!N14</f>
        <v>41391066.55</v>
      </c>
      <c r="O5" s="233">
        <f>'Monthly Receipts Input'!O14</f>
        <v>58866249.67</v>
      </c>
      <c r="P5" s="234">
        <f>'Monthly Receipts Input'!P14</f>
        <v>0</v>
      </c>
      <c r="Q5" s="316"/>
      <c r="R5" s="459">
        <f>'Monthly Receipts Input'!R14</f>
        <v>0.1</v>
      </c>
      <c r="S5" s="473">
        <f>'Monthly Receipts Input'!S14</f>
        <v>0</v>
      </c>
    </row>
    <row r="6" spans="1:19" ht="15">
      <c r="A6" s="124" t="s">
        <v>86</v>
      </c>
      <c r="B6" s="8">
        <f>'County One Time Input-BASE'!C28</f>
        <v>0.580216736316997</v>
      </c>
      <c r="C6" s="130">
        <f>'County One Time Input-BASE'!B28</f>
        <v>842900000</v>
      </c>
      <c r="D6" s="36">
        <f t="shared" si="0"/>
        <v>842899999.9999999</v>
      </c>
      <c r="E6" s="158">
        <f>'Monthly Receipts Input'!E15</f>
        <v>64456162.22</v>
      </c>
      <c r="F6" s="158">
        <f>'Monthly Receipts Input'!F15</f>
        <v>68145779.38</v>
      </c>
      <c r="G6" s="158">
        <f>'Monthly Receipts Input'!G15</f>
        <v>86439004.2</v>
      </c>
      <c r="H6" s="158">
        <f>'Monthly Receipts Input'!H15</f>
        <v>65683560.95</v>
      </c>
      <c r="I6" s="158">
        <f>'Monthly Receipts Input'!I15</f>
        <v>64567368.04</v>
      </c>
      <c r="J6" s="158">
        <f>'Monthly Receipts Input'!J15</f>
        <v>110718600.63</v>
      </c>
      <c r="K6" s="158">
        <f>'Monthly Receipts Input'!K15</f>
        <v>63757718.84</v>
      </c>
      <c r="L6" s="158">
        <f>'Monthly Receipts Input'!L15</f>
        <v>55742252.06</v>
      </c>
      <c r="M6" s="158">
        <f>'Monthly Receipts Input'!M15</f>
        <v>93159790.04</v>
      </c>
      <c r="N6" s="158">
        <f>'Monthly Receipts Input'!N15</f>
        <v>70278971.62</v>
      </c>
      <c r="O6" s="158">
        <f>'Monthly Receipts Input'!O15</f>
        <v>99950792.02</v>
      </c>
      <c r="P6" s="159">
        <f>'Monthly Receipts Input'!P15</f>
        <v>0</v>
      </c>
      <c r="Q6" s="316"/>
      <c r="R6" s="459">
        <f>'Monthly Receipts Input'!R15</f>
        <v>0.75</v>
      </c>
      <c r="S6" s="473">
        <f>'Monthly Receipts Input'!S15</f>
        <v>0</v>
      </c>
    </row>
    <row r="7" spans="1:19" ht="15">
      <c r="A7" s="124" t="s">
        <v>87</v>
      </c>
      <c r="B7" s="8">
        <f>'County One Time Input-BASE'!C29</f>
        <v>0.010050022956730522</v>
      </c>
      <c r="C7" s="130">
        <f>'County One Time Input-BASE'!B29</f>
        <v>14600000</v>
      </c>
      <c r="D7" s="36">
        <f t="shared" si="0"/>
        <v>14600000</v>
      </c>
      <c r="E7" s="158">
        <f>'Monthly Receipts Input'!E16</f>
        <v>1116452</v>
      </c>
      <c r="F7" s="158">
        <f>'Monthly Receipts Input'!F16</f>
        <v>1180360.25</v>
      </c>
      <c r="G7" s="158">
        <f>'Monthly Receipts Input'!G16</f>
        <v>1497219.13</v>
      </c>
      <c r="H7" s="158">
        <f>'Monthly Receipts Input'!H16</f>
        <v>1137711.9</v>
      </c>
      <c r="I7" s="158">
        <f>'Monthly Receipts Input'!I16</f>
        <v>1118378.21</v>
      </c>
      <c r="J7" s="158">
        <f>'Monthly Receipts Input'!J16</f>
        <v>1917768.59</v>
      </c>
      <c r="K7" s="158">
        <f>'Monthly Receipts Input'!K16</f>
        <v>1104354.19</v>
      </c>
      <c r="L7" s="158">
        <f>'Monthly Receipts Input'!L16</f>
        <v>965517.44</v>
      </c>
      <c r="M7" s="158">
        <f>'Monthly Receipts Input'!M16</f>
        <v>1613630.58</v>
      </c>
      <c r="N7" s="158">
        <f>'Monthly Receipts Input'!N16</f>
        <v>1217309.5</v>
      </c>
      <c r="O7" s="158">
        <f>'Monthly Receipts Input'!O16</f>
        <v>1731298.21</v>
      </c>
      <c r="P7" s="159">
        <f>'Monthly Receipts Input'!P16</f>
        <v>0</v>
      </c>
      <c r="Q7" s="316"/>
      <c r="R7" s="459">
        <f>'Monthly Receipts Input'!R16</f>
        <v>0.05</v>
      </c>
      <c r="S7" s="473">
        <f>'Monthly Receipts Input'!S16</f>
        <v>0</v>
      </c>
    </row>
    <row r="8" spans="1:19" ht="15">
      <c r="A8" s="240" t="s">
        <v>105</v>
      </c>
      <c r="B8" s="8">
        <f>'County One Time Input-BASE'!C30</f>
        <v>0.06801249782306866</v>
      </c>
      <c r="C8" s="130">
        <f>'County One Time Input-BASE'!B30</f>
        <v>98804000</v>
      </c>
      <c r="D8" s="36">
        <f t="shared" si="0"/>
        <v>98600241.79</v>
      </c>
      <c r="E8" s="232">
        <f>'Monthly Receipts Input'!E17</f>
        <v>7555436.16</v>
      </c>
      <c r="F8" s="232">
        <f>'Monthly Receipts Input'!F17</f>
        <v>7987926.5</v>
      </c>
      <c r="G8" s="232">
        <f>'Monthly Receipts Input'!G17</f>
        <v>10132225.62</v>
      </c>
      <c r="H8" s="232">
        <f>'Monthly Receipts Input'!H17</f>
        <v>7699309.65</v>
      </c>
      <c r="I8" s="232">
        <f>'Monthly Receipts Input'!I17</f>
        <v>7568471.51</v>
      </c>
      <c r="J8" s="232">
        <f>'Monthly Receipts Input'!J17</f>
        <v>12978236.53</v>
      </c>
      <c r="K8" s="232">
        <f>'Monthly Receipts Input'!K17</f>
        <v>7473565.88</v>
      </c>
      <c r="L8" s="232">
        <f>'Monthly Receipts Input'!L17</f>
        <v>6534007.19</v>
      </c>
      <c r="M8" s="232">
        <f>'Monthly Receipts Input'!M17</f>
        <v>10920024.13</v>
      </c>
      <c r="N8" s="232">
        <f>'Monthly Receipts Input'!N17</f>
        <v>8237975.48</v>
      </c>
      <c r="O8" s="232">
        <f>'Monthly Receipts Input'!O17</f>
        <v>11513063.14</v>
      </c>
      <c r="P8" s="235">
        <f>'Monthly Receipts Input'!P17</f>
        <v>0</v>
      </c>
      <c r="Q8" s="316"/>
      <c r="R8" s="459">
        <f>'Monthly Receipts Input'!R17</f>
        <v>0.1</v>
      </c>
      <c r="S8" s="473">
        <f>'Monthly Receipts Input'!S17</f>
        <v>0</v>
      </c>
    </row>
    <row r="9" spans="1:19" ht="15" outlineLevel="1">
      <c r="A9" s="430" t="s">
        <v>158</v>
      </c>
      <c r="B9" s="431">
        <f>'County One Time Input-BASE'!C31</f>
        <v>0.94481</v>
      </c>
      <c r="C9" s="470">
        <f>'County One Time Input-BASE'!B31</f>
        <v>93351007.24000001</v>
      </c>
      <c r="D9" s="437">
        <f t="shared" si="0"/>
        <v>93158494.4456099</v>
      </c>
      <c r="E9" s="471">
        <f>'Monthly Receipts Input'!E18</f>
        <v>7138451.6383296</v>
      </c>
      <c r="F9" s="471">
        <f>'Monthly Receipts Input'!F18</f>
        <v>7547072.836465</v>
      </c>
      <c r="G9" s="471">
        <f>'Monthly Receipts Input'!G18</f>
        <v>9573028.0880322</v>
      </c>
      <c r="H9" s="471">
        <f>'Monthly Receipts Input'!H18</f>
        <v>7274384.7504165005</v>
      </c>
      <c r="I9" s="471">
        <f>'Monthly Receipts Input'!I18</f>
        <v>7150767.5673631</v>
      </c>
      <c r="J9" s="471">
        <f>'Monthly Receipts Input'!J18</f>
        <v>12261967.6559093</v>
      </c>
      <c r="K9" s="471">
        <f>'Monthly Receipts Input'!K18</f>
        <v>7061099.7790828</v>
      </c>
      <c r="L9" s="471">
        <f>'Monthly Receipts Input'!L18</f>
        <v>6173395.3331839</v>
      </c>
      <c r="M9" s="471">
        <f>'Monthly Receipts Input'!M18</f>
        <v>10317347.998265302</v>
      </c>
      <c r="N9" s="471">
        <f>'Monthly Receipts Input'!N18</f>
        <v>7783321.6132588005</v>
      </c>
      <c r="O9" s="471">
        <f>'Monthly Receipts Input'!O18</f>
        <v>10877657.185303401</v>
      </c>
      <c r="P9" s="472">
        <f>'Monthly Receipts Input'!P18</f>
        <v>0</v>
      </c>
      <c r="Q9" s="316"/>
      <c r="R9" s="464">
        <f>'County One Time Input-GROWTH'!C25</f>
        <v>0.94481</v>
      </c>
      <c r="S9" s="436">
        <f>S8*$R9</f>
        <v>0</v>
      </c>
    </row>
    <row r="10" spans="1:19" ht="15.75" outlineLevel="1" thickBot="1">
      <c r="A10" s="430" t="s">
        <v>159</v>
      </c>
      <c r="B10" s="431">
        <f>'County One Time Input-BASE'!C32</f>
        <v>0.05519</v>
      </c>
      <c r="C10" s="470">
        <f>'County One Time Input-BASE'!B32</f>
        <v>5452992.760000001</v>
      </c>
      <c r="D10" s="438">
        <f t="shared" si="0"/>
        <v>5441747.344390101</v>
      </c>
      <c r="E10" s="471">
        <f>'Monthly Receipts Input'!E19</f>
        <v>416984.52167040005</v>
      </c>
      <c r="F10" s="471">
        <f>'Monthly Receipts Input'!F19</f>
        <v>440853.663535</v>
      </c>
      <c r="G10" s="471">
        <f>'Monthly Receipts Input'!G19</f>
        <v>559197.5319678</v>
      </c>
      <c r="H10" s="471">
        <f>'Monthly Receipts Input'!H19</f>
        <v>424924.89958350005</v>
      </c>
      <c r="I10" s="471">
        <f>'Monthly Receipts Input'!I19</f>
        <v>417703.9426369</v>
      </c>
      <c r="J10" s="471">
        <f>'Monthly Receipts Input'!J19</f>
        <v>716268.8740907</v>
      </c>
      <c r="K10" s="471">
        <f>'Monthly Receipts Input'!K19</f>
        <v>412466.10091720003</v>
      </c>
      <c r="L10" s="471">
        <f>'Monthly Receipts Input'!L19</f>
        <v>360611.8568161</v>
      </c>
      <c r="M10" s="471">
        <f>'Monthly Receipts Input'!M19</f>
        <v>602676.1317347001</v>
      </c>
      <c r="N10" s="471">
        <f>'Monthly Receipts Input'!N19</f>
        <v>454653.86674120004</v>
      </c>
      <c r="O10" s="471">
        <f>'Monthly Receipts Input'!O19</f>
        <v>635405.9546966001</v>
      </c>
      <c r="P10" s="472">
        <f>'Monthly Receipts Input'!P19</f>
        <v>0</v>
      </c>
      <c r="Q10" s="316"/>
      <c r="R10" s="465">
        <f>'County One Time Input-GROWTH'!C26</f>
        <v>0.05519</v>
      </c>
      <c r="S10" s="449">
        <f>S8*$R10</f>
        <v>0</v>
      </c>
    </row>
    <row r="11" spans="1:19" ht="15.75" thickBot="1">
      <c r="A11" s="50" t="s">
        <v>91</v>
      </c>
      <c r="B11" s="51">
        <f>SUM(B5:B8)</f>
        <v>1</v>
      </c>
      <c r="C11" s="131">
        <f>SUM(C5:C8)</f>
        <v>1452733000</v>
      </c>
      <c r="D11" s="128">
        <f t="shared" si="0"/>
        <v>1452529241.7900002</v>
      </c>
      <c r="E11" s="53">
        <f aca="true" t="shared" si="1" ref="E11:P11">SUM(E5:E8)</f>
        <v>111089751.28</v>
      </c>
      <c r="F11" s="53">
        <f t="shared" si="1"/>
        <v>117448781.03999999</v>
      </c>
      <c r="G11" s="53">
        <f t="shared" si="1"/>
        <v>148977027.9</v>
      </c>
      <c r="H11" s="53">
        <f t="shared" si="1"/>
        <v>113205164.53000002</v>
      </c>
      <c r="I11" s="53">
        <f t="shared" si="1"/>
        <v>111281413.75</v>
      </c>
      <c r="J11" s="53">
        <f t="shared" si="1"/>
        <v>190822744.99</v>
      </c>
      <c r="K11" s="53">
        <f t="shared" si="1"/>
        <v>109885988.93</v>
      </c>
      <c r="L11" s="53">
        <f t="shared" si="1"/>
        <v>96071387.2</v>
      </c>
      <c r="M11" s="53">
        <f t="shared" si="1"/>
        <v>160560255.98000002</v>
      </c>
      <c r="N11" s="53">
        <f t="shared" si="1"/>
        <v>121125323.15</v>
      </c>
      <c r="O11" s="53">
        <f t="shared" si="1"/>
        <v>172061403.04000002</v>
      </c>
      <c r="P11" s="54">
        <f t="shared" si="1"/>
        <v>0</v>
      </c>
      <c r="R11" s="462"/>
      <c r="S11" s="461">
        <f>SUM(S5:S8)</f>
        <v>0</v>
      </c>
    </row>
    <row r="13" ht="15">
      <c r="G13" s="239" t="str">
        <f>CONCATENATE('County One Time Input-BASE'!C2," County Receipts - LAW ENFORCEMENT SERVICES ACCOUNT")</f>
        <v>San Mateo County Receipts - LAW ENFORCEMENT SERVICES ACCOUNT</v>
      </c>
    </row>
    <row r="14" ht="15.75" thickBot="1">
      <c r="S14" s="60" t="s">
        <v>275</v>
      </c>
    </row>
    <row r="15" spans="1:19" s="29" customFormat="1" ht="45.75" thickBot="1">
      <c r="A15" s="25" t="s">
        <v>21</v>
      </c>
      <c r="B15" s="26" t="str">
        <f>CONCATENATE('County One Time Input-BASE'!C2," County % Distribution")</f>
        <v>San Mateo County % Distribution</v>
      </c>
      <c r="C15" s="26" t="str">
        <f>CONCATENATE('County One Time Input-BASE'!C2," County Portion")</f>
        <v>San Mateo County Portion</v>
      </c>
      <c r="D15" s="58" t="str">
        <f>CONCATENATE("RECEIPTS THROUGH"," ",D1)</f>
        <v>RECEIPTS THROUGH JULY</v>
      </c>
      <c r="E15" s="27" t="s">
        <v>7</v>
      </c>
      <c r="F15" s="27" t="s">
        <v>8</v>
      </c>
      <c r="G15" s="27" t="s">
        <v>9</v>
      </c>
      <c r="H15" s="27" t="s">
        <v>10</v>
      </c>
      <c r="I15" s="27" t="s">
        <v>11</v>
      </c>
      <c r="J15" s="27" t="s">
        <v>12</v>
      </c>
      <c r="K15" s="27" t="s">
        <v>13</v>
      </c>
      <c r="L15" s="27" t="s">
        <v>14</v>
      </c>
      <c r="M15" s="27" t="s">
        <v>15</v>
      </c>
      <c r="N15" s="27" t="s">
        <v>16</v>
      </c>
      <c r="O15" s="27" t="s">
        <v>17</v>
      </c>
      <c r="P15" s="28" t="s">
        <v>18</v>
      </c>
      <c r="R15" s="441" t="s">
        <v>184</v>
      </c>
      <c r="S15" s="441" t="s">
        <v>182</v>
      </c>
    </row>
    <row r="16" spans="1:19" ht="5.25" customHeight="1" thickBot="1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R16" s="474"/>
      <c r="S16" s="448"/>
    </row>
    <row r="17" spans="1:19" ht="15">
      <c r="A17" s="124" t="s">
        <v>85</v>
      </c>
      <c r="B17" s="8">
        <f>'County One Time Input-BASE'!F27</f>
        <v>0.020628</v>
      </c>
      <c r="C17" s="130">
        <f>'County One Time Input-BASE'!G27</f>
        <v>10240337.412</v>
      </c>
      <c r="D17" s="35">
        <f aca="true" t="shared" si="2" ref="D17:D23">SUM(E17:P17)+S17</f>
        <v>10240337.412</v>
      </c>
      <c r="E17" s="233">
        <f aca="true" t="shared" si="3" ref="E17:P17">E5*$B17</f>
        <v>783073.9661652</v>
      </c>
      <c r="F17" s="233">
        <f t="shared" si="3"/>
        <v>827898.8991634799</v>
      </c>
      <c r="G17" s="233">
        <f t="shared" si="3"/>
        <v>1050142.1665806002</v>
      </c>
      <c r="H17" s="233">
        <f t="shared" si="3"/>
        <v>797985.5581148401</v>
      </c>
      <c r="I17" s="233">
        <f t="shared" si="3"/>
        <v>784424.99888172</v>
      </c>
      <c r="J17" s="233">
        <f t="shared" si="3"/>
        <v>1345113.4962427202</v>
      </c>
      <c r="K17" s="233">
        <f t="shared" si="3"/>
        <v>774588.62021256</v>
      </c>
      <c r="L17" s="233">
        <f t="shared" si="3"/>
        <v>677209.2056002801</v>
      </c>
      <c r="M17" s="233">
        <f t="shared" si="3"/>
        <v>1131792.58205244</v>
      </c>
      <c r="N17" s="233">
        <f t="shared" si="3"/>
        <v>853814.9207933999</v>
      </c>
      <c r="O17" s="233">
        <f t="shared" si="3"/>
        <v>1214292.9981927602</v>
      </c>
      <c r="P17" s="234">
        <f t="shared" si="3"/>
        <v>0</v>
      </c>
      <c r="R17" s="475">
        <f>'County One Time Input-GROWTH'!F21</f>
        <v>0</v>
      </c>
      <c r="S17" s="473">
        <f>S5*R17</f>
        <v>0</v>
      </c>
    </row>
    <row r="18" spans="1:19" ht="15">
      <c r="A18" s="124" t="s">
        <v>86</v>
      </c>
      <c r="B18" s="8">
        <f>'County One Time Input-BASE'!F28</f>
        <v>0.015961</v>
      </c>
      <c r="C18" s="130">
        <f>'County One Time Input-BASE'!G28</f>
        <v>13453526.9</v>
      </c>
      <c r="D18" s="36">
        <f t="shared" si="2"/>
        <v>13453526.899999999</v>
      </c>
      <c r="E18" s="158">
        <f aca="true" t="shared" si="4" ref="E18:P18">E6*$B18</f>
        <v>1028784.8051934199</v>
      </c>
      <c r="F18" s="158">
        <f t="shared" si="4"/>
        <v>1087674.7846841798</v>
      </c>
      <c r="G18" s="158">
        <f t="shared" si="4"/>
        <v>1379652.9460362</v>
      </c>
      <c r="H18" s="158">
        <f t="shared" si="4"/>
        <v>1048375.3163229501</v>
      </c>
      <c r="I18" s="158">
        <f t="shared" si="4"/>
        <v>1030559.76128644</v>
      </c>
      <c r="J18" s="158">
        <f t="shared" si="4"/>
        <v>1767179.58465543</v>
      </c>
      <c r="K18" s="158">
        <f t="shared" si="4"/>
        <v>1017636.9504052401</v>
      </c>
      <c r="L18" s="158">
        <f t="shared" si="4"/>
        <v>889702.08512966</v>
      </c>
      <c r="M18" s="158">
        <f t="shared" si="4"/>
        <v>1486923.4088284401</v>
      </c>
      <c r="N18" s="158">
        <f t="shared" si="4"/>
        <v>1121722.66602682</v>
      </c>
      <c r="O18" s="158">
        <f t="shared" si="4"/>
        <v>1595314.5914312198</v>
      </c>
      <c r="P18" s="159">
        <f t="shared" si="4"/>
        <v>0</v>
      </c>
      <c r="R18" s="459">
        <f>'County One Time Input-GROWTH'!F22</f>
        <v>0</v>
      </c>
      <c r="S18" s="473">
        <f>S6*R18</f>
        <v>0</v>
      </c>
    </row>
    <row r="19" spans="1:19" ht="15">
      <c r="A19" s="124" t="s">
        <v>87</v>
      </c>
      <c r="B19" s="8">
        <f>'County One Time Input-BASE'!F29</f>
        <v>0.012412</v>
      </c>
      <c r="C19" s="130">
        <f>'County One Time Input-BASE'!G29</f>
        <v>181215.19999999998</v>
      </c>
      <c r="D19" s="36">
        <f t="shared" si="2"/>
        <v>181215.19999999998</v>
      </c>
      <c r="E19" s="158">
        <f aca="true" t="shared" si="5" ref="E19:P19">E7*$B19</f>
        <v>13857.402224</v>
      </c>
      <c r="F19" s="158">
        <f t="shared" si="5"/>
        <v>14650.631422999999</v>
      </c>
      <c r="G19" s="158">
        <f t="shared" si="5"/>
        <v>18583.48384156</v>
      </c>
      <c r="H19" s="158">
        <f t="shared" si="5"/>
        <v>14121.280102799998</v>
      </c>
      <c r="I19" s="158">
        <f t="shared" si="5"/>
        <v>13881.310342519999</v>
      </c>
      <c r="J19" s="158">
        <f t="shared" si="5"/>
        <v>23803.34373908</v>
      </c>
      <c r="K19" s="158">
        <f t="shared" si="5"/>
        <v>13707.244206279998</v>
      </c>
      <c r="L19" s="158">
        <f t="shared" si="5"/>
        <v>11984.002465279998</v>
      </c>
      <c r="M19" s="158">
        <f t="shared" si="5"/>
        <v>20028.38275896</v>
      </c>
      <c r="N19" s="158">
        <f t="shared" si="5"/>
        <v>15109.245514</v>
      </c>
      <c r="O19" s="158">
        <f t="shared" si="5"/>
        <v>21488.87338252</v>
      </c>
      <c r="P19" s="159">
        <f t="shared" si="5"/>
        <v>0</v>
      </c>
      <c r="R19" s="459">
        <f>'County One Time Input-GROWTH'!F23</f>
        <v>0</v>
      </c>
      <c r="S19" s="473">
        <f>S7*R19</f>
        <v>0</v>
      </c>
    </row>
    <row r="20" spans="1:19" ht="15">
      <c r="A20" s="240" t="s">
        <v>105</v>
      </c>
      <c r="B20" s="8">
        <f>'County One Time Input-BASE'!F30</f>
        <v>0.01844549886644265</v>
      </c>
      <c r="C20" s="130">
        <f>'County One Time Input-BASE'!G30</f>
        <v>1822489.0699999998</v>
      </c>
      <c r="D20" s="36">
        <f t="shared" si="2"/>
        <v>1818730.6481684165</v>
      </c>
      <c r="E20" s="232">
        <f aca="true" t="shared" si="6" ref="E20:P20">E8*$B20</f>
        <v>139363.78912475982</v>
      </c>
      <c r="F20" s="232">
        <f t="shared" si="6"/>
        <v>147341.28920097722</v>
      </c>
      <c r="G20" s="232">
        <f t="shared" si="6"/>
        <v>186893.95618825118</v>
      </c>
      <c r="H20" s="232">
        <f t="shared" si="6"/>
        <v>142017.60742146597</v>
      </c>
      <c r="I20" s="232">
        <f t="shared" si="6"/>
        <v>139604.2326584085</v>
      </c>
      <c r="J20" s="232">
        <f t="shared" si="6"/>
        <v>239390.0472025396</v>
      </c>
      <c r="K20" s="232">
        <f t="shared" si="6"/>
        <v>137853.65096782448</v>
      </c>
      <c r="L20" s="232">
        <f t="shared" si="6"/>
        <v>120523.02221647314</v>
      </c>
      <c r="M20" s="232">
        <f t="shared" si="6"/>
        <v>201425.2927114414</v>
      </c>
      <c r="N20" s="232">
        <f t="shared" si="6"/>
        <v>151953.56737812236</v>
      </c>
      <c r="O20" s="232">
        <f t="shared" si="6"/>
        <v>212364.1930981527</v>
      </c>
      <c r="P20" s="235">
        <f t="shared" si="6"/>
        <v>0</v>
      </c>
      <c r="R20" s="459">
        <f>'County One Time Input-GROWTH'!F24</f>
        <v>0</v>
      </c>
      <c r="S20" s="473">
        <f>S8*R20</f>
        <v>0</v>
      </c>
    </row>
    <row r="21" spans="1:19" ht="15" outlineLevel="1">
      <c r="A21" s="430" t="s">
        <v>158</v>
      </c>
      <c r="B21" s="8">
        <f>'County One Time Input-BASE'!F31</f>
        <v>0.01783661997046492</v>
      </c>
      <c r="C21" s="130">
        <f>'County One Time Input-BASE'!G31</f>
        <v>1665066.4399999997</v>
      </c>
      <c r="D21" s="437">
        <f t="shared" si="2"/>
        <v>1661632.662447011</v>
      </c>
      <c r="E21" s="471">
        <f>E$8*$B9*$B21</f>
        <v>127325.84905042779</v>
      </c>
      <c r="F21" s="471">
        <f aca="true" t="shared" si="7" ref="F21:P22">F$8*$B9*$B21</f>
        <v>134614.27007344496</v>
      </c>
      <c r="G21" s="471">
        <f t="shared" si="7"/>
        <v>170750.46397281674</v>
      </c>
      <c r="H21" s="471">
        <f t="shared" si="7"/>
        <v>129750.43631212444</v>
      </c>
      <c r="I21" s="471">
        <f t="shared" si="7"/>
        <v>127545.52359618153</v>
      </c>
      <c r="J21" s="471">
        <f t="shared" si="7"/>
        <v>218712.05716858676</v>
      </c>
      <c r="K21" s="471">
        <f t="shared" si="7"/>
        <v>125946.15333303373</v>
      </c>
      <c r="L21" s="471">
        <f t="shared" si="7"/>
        <v>110112.50648544291</v>
      </c>
      <c r="M21" s="471">
        <f t="shared" si="7"/>
        <v>184026.61534809516</v>
      </c>
      <c r="N21" s="471">
        <f t="shared" si="7"/>
        <v>138828.1497236032</v>
      </c>
      <c r="O21" s="471">
        <f t="shared" si="7"/>
        <v>194020.6373832539</v>
      </c>
      <c r="P21" s="472">
        <f t="shared" si="7"/>
        <v>0</v>
      </c>
      <c r="R21" s="459">
        <f>'County One Time Input-GROWTH'!F25</f>
        <v>0</v>
      </c>
      <c r="S21" s="472">
        <f>S$8*$B9*$R21</f>
        <v>0</v>
      </c>
    </row>
    <row r="22" spans="1:19" ht="15.75" outlineLevel="1" thickBot="1">
      <c r="A22" s="430" t="s">
        <v>159</v>
      </c>
      <c r="B22" s="8">
        <f>'County One Time Input-BASE'!F32</f>
        <v>0.028869033378287494</v>
      </c>
      <c r="C22" s="130">
        <f>'County One Time Input-BASE'!G32</f>
        <v>157422.63000000006</v>
      </c>
      <c r="D22" s="438">
        <f t="shared" si="2"/>
        <v>157097.98572140513</v>
      </c>
      <c r="E22" s="471">
        <f>E$8*$B10*$B22</f>
        <v>12037.940074332024</v>
      </c>
      <c r="F22" s="471">
        <f t="shared" si="7"/>
        <v>12727.01912753224</v>
      </c>
      <c r="G22" s="471">
        <f t="shared" si="7"/>
        <v>16143.492215434406</v>
      </c>
      <c r="H22" s="471">
        <f t="shared" si="7"/>
        <v>12267.171109341525</v>
      </c>
      <c r="I22" s="471">
        <f t="shared" si="7"/>
        <v>12058.709062226952</v>
      </c>
      <c r="J22" s="471">
        <f t="shared" si="7"/>
        <v>20677.990033952818</v>
      </c>
      <c r="K22" s="471">
        <f t="shared" si="7"/>
        <v>11907.497634790745</v>
      </c>
      <c r="L22" s="471">
        <f t="shared" si="7"/>
        <v>10410.515731030222</v>
      </c>
      <c r="M22" s="471">
        <f t="shared" si="7"/>
        <v>17398.677363346247</v>
      </c>
      <c r="N22" s="471">
        <f t="shared" si="7"/>
        <v>13125.417654519179</v>
      </c>
      <c r="O22" s="471">
        <f t="shared" si="7"/>
        <v>18343.55571489878</v>
      </c>
      <c r="P22" s="472">
        <f t="shared" si="7"/>
        <v>0</v>
      </c>
      <c r="R22" s="460">
        <f>'County One Time Input-GROWTH'!F26</f>
        <v>0</v>
      </c>
      <c r="S22" s="476">
        <f>S$8*$B10*$R22</f>
        <v>0</v>
      </c>
    </row>
    <row r="23" spans="1:19" ht="15.75" thickBot="1">
      <c r="A23" s="50" t="s">
        <v>108</v>
      </c>
      <c r="B23" s="51"/>
      <c r="C23" s="131">
        <f>SUM(C17:C20)</f>
        <v>25697568.582</v>
      </c>
      <c r="D23" s="128">
        <f t="shared" si="2"/>
        <v>25693810.160168417</v>
      </c>
      <c r="E23" s="53">
        <f>SUM(E17:E20)</f>
        <v>1965079.9627073798</v>
      </c>
      <c r="F23" s="53">
        <f aca="true" t="shared" si="8" ref="F23:P23">SUM(F17:F20)</f>
        <v>2077565.604471637</v>
      </c>
      <c r="G23" s="53">
        <f t="shared" si="8"/>
        <v>2635272.5526466114</v>
      </c>
      <c r="H23" s="53">
        <f t="shared" si="8"/>
        <v>2002499.7619620562</v>
      </c>
      <c r="I23" s="53">
        <f t="shared" si="8"/>
        <v>1968470.3031690884</v>
      </c>
      <c r="J23" s="53">
        <f t="shared" si="8"/>
        <v>3375486.4718397693</v>
      </c>
      <c r="K23" s="53">
        <f t="shared" si="8"/>
        <v>1943786.4657919046</v>
      </c>
      <c r="L23" s="53">
        <f t="shared" si="8"/>
        <v>1699418.3154116932</v>
      </c>
      <c r="M23" s="53">
        <f t="shared" si="8"/>
        <v>2840169.6663512816</v>
      </c>
      <c r="N23" s="53">
        <f t="shared" si="8"/>
        <v>2142600.3997123423</v>
      </c>
      <c r="O23" s="53">
        <f t="shared" si="8"/>
        <v>3043460.6561046527</v>
      </c>
      <c r="P23" s="54">
        <f t="shared" si="8"/>
        <v>0</v>
      </c>
      <c r="R23" s="462"/>
      <c r="S23" s="461">
        <f>SUM(S17:S20)</f>
        <v>0</v>
      </c>
    </row>
    <row r="33" ht="15">
      <c r="G33" s="317"/>
    </row>
  </sheetData>
  <sheetProtection/>
  <dataValidations count="1">
    <dataValidation allowBlank="1" showInputMessage="1" showErrorMessage="1" prompt="Please spell out the month, do not abbreviate" sqref="D1"/>
  </dataValidations>
  <hyperlinks>
    <hyperlink ref="A5" r:id="rId1" display="TRIAL COURT SECURITY"/>
    <hyperlink ref="A6" r:id="rId2" display="COMMUNITY CORRECTIONS"/>
    <hyperlink ref="A7" r:id="rId3" display="DA &amp; PUBLIC DEFENDER"/>
    <hyperlink ref="A8" r:id="rId4" display="JUVENILE JUSTICE (not monthly)"/>
    <hyperlink ref="A17" r:id="rId5" display="TRIAL COURT SECURITY"/>
    <hyperlink ref="A18" r:id="rId6" display="COMMUNITY CORRECTIONS"/>
    <hyperlink ref="A19" r:id="rId7" display="DA &amp; PUBLIC DEFENDER"/>
    <hyperlink ref="A20" r:id="rId8" display="JUVENILE JUSTICE (not monthly)"/>
  </hyperlinks>
  <printOptions/>
  <pageMargins left="0.75" right="0.75" top="1" bottom="1" header="0.25" footer="0.5"/>
  <pageSetup fitToHeight="1" fitToWidth="1" horizontalDpi="600" verticalDpi="600" orientation="landscape" paperSize="5" scale="57" r:id="rId9"/>
  <headerFooter alignWithMargins="0">
    <oddHeader>&amp;C&amp;"Calibri,Bold"&amp;14&amp;A</oddHeader>
    <oddFooter>&amp;L&amp;Z&amp;F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7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27.57421875" style="2" customWidth="1"/>
    <col min="2" max="2" width="14.7109375" style="2" bestFit="1" customWidth="1"/>
    <col min="3" max="3" width="15.00390625" style="2" customWidth="1"/>
    <col min="4" max="4" width="17.421875" style="2" customWidth="1"/>
    <col min="5" max="5" width="15.421875" style="2" customWidth="1"/>
    <col min="6" max="6" width="13.28125" style="2" bestFit="1" customWidth="1"/>
    <col min="7" max="7" width="13.28125" style="2" customWidth="1"/>
    <col min="8" max="8" width="7.00390625" style="2" customWidth="1"/>
    <col min="9" max="9" width="16.421875" style="2" customWidth="1"/>
    <col min="10" max="10" width="13.57421875" style="2" customWidth="1"/>
    <col min="11" max="11" width="15.8515625" style="2" customWidth="1"/>
    <col min="12" max="12" width="11.57421875" style="2" bestFit="1" customWidth="1"/>
    <col min="13" max="16384" width="9.140625" style="2" customWidth="1"/>
  </cols>
  <sheetData>
    <row r="1" spans="1:11" ht="15.75" customHeight="1">
      <c r="A1" s="612" t="s">
        <v>90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5" ht="16.5" thickBot="1">
      <c r="A2" s="1"/>
      <c r="B2" s="5"/>
      <c r="C2" s="5"/>
      <c r="D2" s="5" t="s">
        <v>104</v>
      </c>
      <c r="E2" s="5"/>
    </row>
    <row r="3" spans="1:5" ht="16.5" thickBot="1">
      <c r="A3" s="1"/>
      <c r="B3" s="1"/>
      <c r="C3" s="3" t="s">
        <v>0</v>
      </c>
      <c r="D3" s="4" t="str">
        <f>'Monthly Receipts Input'!D1</f>
        <v>JULY</v>
      </c>
      <c r="E3" s="1"/>
    </row>
    <row r="4" spans="1:5" ht="15.75">
      <c r="A4" s="1"/>
      <c r="C4" s="1"/>
      <c r="D4" s="1"/>
      <c r="E4" s="1"/>
    </row>
    <row r="5" spans="1:9" ht="15.75" customHeight="1">
      <c r="A5" s="186"/>
      <c r="B5" s="3"/>
      <c r="C5" s="186"/>
      <c r="D5" s="3" t="str">
        <f>'County One Time Input-BASE'!B7</f>
        <v>SUPPORT SERVICES ACCOUNT</v>
      </c>
      <c r="E5" s="313">
        <f>'County One Time Input-BASE'!C7</f>
        <v>0.6419752599606716</v>
      </c>
      <c r="F5" s="186"/>
      <c r="I5" s="151"/>
    </row>
    <row r="6" spans="2:9" ht="16.5" thickBot="1">
      <c r="B6" s="5"/>
      <c r="I6" s="151"/>
    </row>
    <row r="7" spans="1:11" ht="60.75" thickBot="1">
      <c r="A7" s="6" t="s">
        <v>1</v>
      </c>
      <c r="B7" s="166" t="s">
        <v>2</v>
      </c>
      <c r="C7" s="167" t="s">
        <v>96</v>
      </c>
      <c r="D7" s="167" t="str">
        <f>CONCATENATE("State Receipts up to:","  ",D3)</f>
        <v>State Receipts up to:  JULY</v>
      </c>
      <c r="E7" s="167" t="s">
        <v>4</v>
      </c>
      <c r="F7" s="168" t="s">
        <v>5</v>
      </c>
      <c r="G7" s="140" t="s">
        <v>93</v>
      </c>
      <c r="I7" s="17"/>
      <c r="J7" s="17"/>
      <c r="K7" s="17"/>
    </row>
    <row r="8" spans="1:11" ht="6.75" customHeight="1" thickBot="1">
      <c r="A8" s="165"/>
      <c r="B8" s="173"/>
      <c r="C8" s="174"/>
      <c r="D8" s="174"/>
      <c r="E8" s="174"/>
      <c r="F8" s="175"/>
      <c r="G8" s="150"/>
      <c r="I8" s="183"/>
      <c r="J8" s="183"/>
      <c r="K8" s="183"/>
    </row>
    <row r="9" spans="1:12" ht="15">
      <c r="A9" s="105" t="str">
        <f>'County One Time Input-BASE'!A11</f>
        <v>PROTECTIVE SERVICES</v>
      </c>
      <c r="B9" s="169">
        <f>'County One Time Input-BASE'!B11</f>
        <v>1640400000</v>
      </c>
      <c r="C9" s="170">
        <f>'County One Time Input-BASE'!C11</f>
        <v>0.6297362662674191</v>
      </c>
      <c r="D9" s="171">
        <f>'Monthly Receipts Input'!D5</f>
        <v>1640400000</v>
      </c>
      <c r="E9" s="172">
        <f>D43*G9</f>
        <v>1788433367.3671052</v>
      </c>
      <c r="F9" s="138">
        <f>+E9-B9</f>
        <v>148033367.36710525</v>
      </c>
      <c r="G9" s="309">
        <f>'County One Time Input-BASE'!D11</f>
        <v>0.4042751032436891</v>
      </c>
      <c r="I9" s="593"/>
      <c r="J9" s="594"/>
      <c r="K9" s="184"/>
      <c r="L9" s="336"/>
    </row>
    <row r="10" spans="1:12" ht="15">
      <c r="A10" s="105" t="str">
        <f>'County One Time Input-BASE'!A12</f>
        <v>BEHAVIORAL HEALTH</v>
      </c>
      <c r="B10" s="169">
        <f>'County One Time Input-BASE'!B12</f>
        <v>959396000</v>
      </c>
      <c r="C10" s="170">
        <f>'County One Time Input-BASE'!C12</f>
        <v>0.36830434949518215</v>
      </c>
      <c r="D10" s="9">
        <f>'Monthly Receipts Input'!D6</f>
        <v>959396000</v>
      </c>
      <c r="E10" s="12">
        <f>SUM((D$43*(G10+G11)-E11))</f>
        <v>1046434638.6403152</v>
      </c>
      <c r="F10" s="13">
        <f>+E10-B10</f>
        <v>87038638.64031518</v>
      </c>
      <c r="G10" s="310">
        <f>'County One Time Input-BASE'!D12</f>
        <v>0.23644228051181562</v>
      </c>
      <c r="I10" s="593"/>
      <c r="J10" s="594"/>
      <c r="K10" s="184"/>
      <c r="L10" s="336"/>
    </row>
    <row r="11" spans="1:12" ht="15.75" thickBot="1">
      <c r="A11" s="105" t="str">
        <f>'County One Time Input-BASE'!A13</f>
        <v>WCRTS (FIXED AMT)</v>
      </c>
      <c r="B11" s="169">
        <f>'County One Time Input-BASE'!B13</f>
        <v>5104000</v>
      </c>
      <c r="C11" s="170">
        <f>'County One Time Input-BASE'!C13</f>
        <v>0.0019593842373987484</v>
      </c>
      <c r="D11" s="45">
        <f>'Monthly Receipts Input'!D7</f>
        <v>5104000</v>
      </c>
      <c r="E11" s="46">
        <f>B11</f>
        <v>5104000</v>
      </c>
      <c r="F11" s="47">
        <f>+E11-B11</f>
        <v>0</v>
      </c>
      <c r="G11" s="311">
        <f>'County One Time Input-BASE'!D13</f>
        <v>0.0012578762051669039</v>
      </c>
      <c r="I11" s="593"/>
      <c r="J11" s="594"/>
      <c r="K11" s="184"/>
      <c r="L11" s="336"/>
    </row>
    <row r="12" spans="1:11" ht="15.75" thickBot="1">
      <c r="A12" s="48" t="s">
        <v>41</v>
      </c>
      <c r="B12" s="211">
        <f aca="true" t="shared" si="0" ref="B12:G12">SUM(B9:B11)</f>
        <v>2604900000</v>
      </c>
      <c r="C12" s="318">
        <f t="shared" si="0"/>
        <v>0.9999999999999999</v>
      </c>
      <c r="D12" s="319">
        <f t="shared" si="0"/>
        <v>2604900000</v>
      </c>
      <c r="E12" s="320">
        <f t="shared" si="0"/>
        <v>2839972006.0074205</v>
      </c>
      <c r="F12" s="321">
        <f t="shared" si="0"/>
        <v>235072006.00742042</v>
      </c>
      <c r="G12" s="160">
        <f t="shared" si="0"/>
        <v>0.6419752599606716</v>
      </c>
      <c r="I12" s="595"/>
      <c r="J12" s="596"/>
      <c r="K12" s="185"/>
    </row>
    <row r="13" spans="9:11" ht="15">
      <c r="I13" s="183"/>
      <c r="J13" s="183"/>
      <c r="K13" s="183"/>
    </row>
    <row r="14" spans="9:11" ht="15">
      <c r="I14" s="183"/>
      <c r="J14" s="183"/>
      <c r="K14" s="183"/>
    </row>
    <row r="15" spans="9:11" ht="15">
      <c r="I15" s="183"/>
      <c r="J15" s="183"/>
      <c r="K15" s="183"/>
    </row>
    <row r="16" spans="1:11" ht="15.75">
      <c r="A16" s="186"/>
      <c r="B16" s="186"/>
      <c r="C16" s="186"/>
      <c r="D16" s="314" t="str">
        <f>'County One Time Input-BASE'!B23</f>
        <v>LAW ENFORCEMENT SERVICES ACCOUNT</v>
      </c>
      <c r="E16" s="313">
        <f>'County One Time Input-BASE'!C23</f>
        <v>0.3580247400393283</v>
      </c>
      <c r="F16" s="186"/>
      <c r="I16" s="597"/>
      <c r="J16" s="183"/>
      <c r="K16" s="183"/>
    </row>
    <row r="17" spans="9:11" ht="15.75" customHeight="1" thickBot="1">
      <c r="I17" s="597"/>
      <c r="J17" s="183"/>
      <c r="K17" s="598"/>
    </row>
    <row r="18" spans="1:11" ht="60.75" thickBot="1">
      <c r="A18" s="6" t="s">
        <v>1</v>
      </c>
      <c r="B18" s="166" t="s">
        <v>2</v>
      </c>
      <c r="C18" s="167" t="s">
        <v>3</v>
      </c>
      <c r="D18" s="167" t="str">
        <f>CONCATENATE("State Receipts up to:","  ",D3)</f>
        <v>State Receipts up to:  JULY</v>
      </c>
      <c r="E18" s="167" t="s">
        <v>4</v>
      </c>
      <c r="F18" s="168" t="s">
        <v>5</v>
      </c>
      <c r="G18" s="7" t="s">
        <v>93</v>
      </c>
      <c r="I18" s="17"/>
      <c r="J18" s="17"/>
      <c r="K18" s="17"/>
    </row>
    <row r="19" spans="1:11" ht="5.25" customHeight="1" thickBot="1">
      <c r="A19" s="176"/>
      <c r="B19" s="178"/>
      <c r="C19" s="179"/>
      <c r="D19" s="179"/>
      <c r="E19" s="179"/>
      <c r="F19" s="180"/>
      <c r="G19" s="139"/>
      <c r="I19" s="183"/>
      <c r="J19" s="183"/>
      <c r="K19" s="183"/>
    </row>
    <row r="20" spans="1:12" ht="15.75" customHeight="1">
      <c r="A20" s="125" t="str">
        <f>'County One Time Input-BASE'!A27</f>
        <v>TRIAL COURT SECURITY</v>
      </c>
      <c r="B20" s="177">
        <f>'County One Time Input-BASE'!B27</f>
        <v>496429000</v>
      </c>
      <c r="C20" s="170">
        <f>'County One Time Input-BASE'!C27</f>
        <v>0.3417207429032038</v>
      </c>
      <c r="D20" s="171">
        <f>'Monthly Receipts Input'!D14</f>
        <v>496429000.00000006</v>
      </c>
      <c r="E20" s="172">
        <f>D$43*G20</f>
        <v>541227864.0140727</v>
      </c>
      <c r="F20" s="138">
        <f>+E20-B20</f>
        <v>44798864.01407266</v>
      </c>
      <c r="G20" s="309">
        <f>'County One Time Input-BASE'!D27</f>
        <v>0.1223444801439657</v>
      </c>
      <c r="I20" s="593"/>
      <c r="J20" s="599"/>
      <c r="K20" s="184"/>
      <c r="L20" s="336"/>
    </row>
    <row r="21" spans="1:12" ht="15">
      <c r="A21" s="125" t="str">
        <f>'County One Time Input-BASE'!A28</f>
        <v>COMMUNITY CORRECTIONS</v>
      </c>
      <c r="B21" s="177">
        <f>'County One Time Input-BASE'!B28</f>
        <v>842900000</v>
      </c>
      <c r="C21" s="170">
        <f>'County One Time Input-BASE'!C28</f>
        <v>0.580216736316997</v>
      </c>
      <c r="D21" s="9">
        <f>'Monthly Receipts Input'!D15</f>
        <v>842899999.9999999</v>
      </c>
      <c r="E21" s="10">
        <f>D$43*G21</f>
        <v>918965182.4882548</v>
      </c>
      <c r="F21" s="11">
        <f>+E21-B21</f>
        <v>76065182.48825479</v>
      </c>
      <c r="G21" s="310">
        <f>'County One Time Input-BASE'!D28</f>
        <v>0.20773194618636037</v>
      </c>
      <c r="I21" s="593"/>
      <c r="J21" s="599"/>
      <c r="K21" s="184"/>
      <c r="L21" s="336"/>
    </row>
    <row r="22" spans="1:12" ht="15">
      <c r="A22" s="125" t="str">
        <f>'County One Time Input-BASE'!A29</f>
        <v>DA &amp; PUBLIC DEFENDER</v>
      </c>
      <c r="B22" s="177">
        <f>'County One Time Input-BASE'!B29</f>
        <v>14600000</v>
      </c>
      <c r="C22" s="170">
        <f>'County One Time Input-BASE'!C29</f>
        <v>0.010050022956730522</v>
      </c>
      <c r="D22" s="9">
        <f>'Monthly Receipts Input'!D16</f>
        <v>14600000</v>
      </c>
      <c r="E22" s="10">
        <f>D$43*G22</f>
        <v>15917536.676151998</v>
      </c>
      <c r="F22" s="11">
        <f>+E22-B22</f>
        <v>1317536.6761519983</v>
      </c>
      <c r="G22" s="310">
        <f>'County One Time Input-BASE'!D29</f>
        <v>0.003598156856472727</v>
      </c>
      <c r="I22" s="593"/>
      <c r="J22" s="599"/>
      <c r="K22" s="184"/>
      <c r="L22" s="336"/>
    </row>
    <row r="23" spans="1:12" ht="15.75" thickBot="1">
      <c r="A23" s="125" t="str">
        <f>'County One Time Input-BASE'!A30</f>
        <v>JUVENILE JUSTICE</v>
      </c>
      <c r="B23" s="177">
        <f>'County One Time Input-BASE'!B30</f>
        <v>98804000</v>
      </c>
      <c r="C23" s="170">
        <f>'County One Time Input-BASE'!C30</f>
        <v>0.06801249782306866</v>
      </c>
      <c r="D23" s="9">
        <f>'Monthly Receipts Input'!D17</f>
        <v>98600241.79</v>
      </c>
      <c r="E23" s="10">
        <f>D$43*G23</f>
        <v>107720294.0925015</v>
      </c>
      <c r="F23" s="11">
        <f>+E23-B23</f>
        <v>8916294.092501506</v>
      </c>
      <c r="G23" s="311">
        <f>'County One Time Input-BASE'!D30</f>
        <v>0.02435015685252954</v>
      </c>
      <c r="I23" s="593"/>
      <c r="J23" s="599"/>
      <c r="K23" s="184"/>
      <c r="L23" s="336"/>
    </row>
    <row r="24" spans="1:11" ht="15.75" thickBot="1">
      <c r="A24" s="48" t="s">
        <v>41</v>
      </c>
      <c r="B24" s="212">
        <f aca="true" t="shared" si="1" ref="B24:G24">SUM(B20:B23)</f>
        <v>1452733000</v>
      </c>
      <c r="C24" s="318">
        <f t="shared" si="1"/>
        <v>1</v>
      </c>
      <c r="D24" s="319">
        <f t="shared" si="1"/>
        <v>1452529241.79</v>
      </c>
      <c r="E24" s="320">
        <f t="shared" si="1"/>
        <v>1583830877.2709808</v>
      </c>
      <c r="F24" s="321">
        <f t="shared" si="1"/>
        <v>131097877.27098094</v>
      </c>
      <c r="G24" s="197">
        <f t="shared" si="1"/>
        <v>0.3580247400393284</v>
      </c>
      <c r="I24" s="595"/>
      <c r="J24" s="600"/>
      <c r="K24" s="185"/>
    </row>
    <row r="25" spans="9:11" ht="15">
      <c r="I25" s="183"/>
      <c r="J25" s="183"/>
      <c r="K25" s="183"/>
    </row>
    <row r="26" ht="15.75" thickBot="1">
      <c r="D26" s="133"/>
    </row>
    <row r="27" spans="1:12" ht="15.75" thickBot="1">
      <c r="A27" s="135" t="s">
        <v>89</v>
      </c>
      <c r="B27" s="322">
        <f>+B12+B24</f>
        <v>4057633000</v>
      </c>
      <c r="C27" s="323"/>
      <c r="D27" s="322">
        <f>+D12+D24</f>
        <v>4057429241.79</v>
      </c>
      <c r="E27" s="324">
        <f>+E12+E24</f>
        <v>4423802883.278401</v>
      </c>
      <c r="F27" s="325">
        <f>+F12+F24</f>
        <v>366169883.2784014</v>
      </c>
      <c r="G27" s="326">
        <f>+G12+G24</f>
        <v>1</v>
      </c>
      <c r="H27" s="133"/>
      <c r="L27" s="337"/>
    </row>
    <row r="28" ht="15">
      <c r="H28" s="14"/>
    </row>
    <row r="29" spans="1:2" ht="15">
      <c r="A29" s="2" t="s">
        <v>183</v>
      </c>
      <c r="B29" s="15">
        <f>HLOOKUP(D3,'Monthly Receipts Input'!D3:P27,25,FALSE)</f>
        <v>0.9171812914917021</v>
      </c>
    </row>
    <row r="30" spans="2:5" ht="60">
      <c r="B30" s="15" t="s">
        <v>111</v>
      </c>
      <c r="C30" s="16" t="s">
        <v>6</v>
      </c>
      <c r="D30" s="17" t="s">
        <v>4</v>
      </c>
      <c r="E30" s="16" t="s">
        <v>5</v>
      </c>
    </row>
    <row r="31" spans="1:5" ht="15">
      <c r="A31" t="s">
        <v>7</v>
      </c>
      <c r="B31" s="18">
        <v>0.07334144711423515</v>
      </c>
      <c r="C31" s="19">
        <f>SUM(+$B$27)*B31</f>
        <v>297592676.07847536</v>
      </c>
      <c r="D31" s="19">
        <f aca="true" t="shared" si="2" ref="D31:D42">+B31*D$43</f>
        <v>324448105.20776385</v>
      </c>
      <c r="E31" s="19">
        <f aca="true" t="shared" si="3" ref="E31:E42">D31-C31</f>
        <v>26855429.129288495</v>
      </c>
    </row>
    <row r="32" spans="1:5" ht="15">
      <c r="A32" t="s">
        <v>8</v>
      </c>
      <c r="B32" s="18">
        <v>0.07232865021526932</v>
      </c>
      <c r="C32" s="19">
        <f aca="true" t="shared" si="4" ref="C32:C42">SUM(+$B$27)*B32</f>
        <v>293483117.9589339</v>
      </c>
      <c r="D32" s="19">
        <f t="shared" si="2"/>
        <v>319967691.36594343</v>
      </c>
      <c r="E32" s="19">
        <f t="shared" si="3"/>
        <v>26484573.407009542</v>
      </c>
    </row>
    <row r="33" spans="1:5" ht="15">
      <c r="A33" t="s">
        <v>9</v>
      </c>
      <c r="B33" s="18">
        <v>0.08702955771671084</v>
      </c>
      <c r="C33" s="19">
        <f t="shared" si="4"/>
        <v>353134005.3667306</v>
      </c>
      <c r="D33" s="19">
        <f t="shared" si="2"/>
        <v>385001608.3576294</v>
      </c>
      <c r="E33" s="19">
        <f t="shared" si="3"/>
        <v>31867602.990898848</v>
      </c>
    </row>
    <row r="34" spans="1:5" ht="15">
      <c r="A34" t="s">
        <v>10</v>
      </c>
      <c r="B34" s="18">
        <v>0.07130072150344567</v>
      </c>
      <c r="C34" s="19">
        <f t="shared" si="4"/>
        <v>289312160.4961908</v>
      </c>
      <c r="D34" s="19">
        <f t="shared" si="2"/>
        <v>315420337.36677325</v>
      </c>
      <c r="E34" s="19">
        <f t="shared" si="3"/>
        <v>26108176.87058246</v>
      </c>
    </row>
    <row r="35" spans="1:5" ht="15">
      <c r="A35" t="s">
        <v>11</v>
      </c>
      <c r="B35" s="18">
        <v>0.06993419299845241</v>
      </c>
      <c r="C35" s="19">
        <f t="shared" si="4"/>
        <v>283767289.3388894</v>
      </c>
      <c r="D35" s="19">
        <f t="shared" si="2"/>
        <v>309375084.62630194</v>
      </c>
      <c r="E35" s="19">
        <f t="shared" si="3"/>
        <v>25607795.287412524</v>
      </c>
    </row>
    <row r="36" spans="1:5" ht="15">
      <c r="A36" t="s">
        <v>12</v>
      </c>
      <c r="B36" s="18">
        <v>0.10707747488759597</v>
      </c>
      <c r="C36" s="19">
        <f t="shared" si="4"/>
        <v>434481095.6605807</v>
      </c>
      <c r="D36" s="19">
        <f t="shared" si="2"/>
        <v>473689642.1419177</v>
      </c>
      <c r="E36" s="19">
        <f t="shared" si="3"/>
        <v>39208546.48133701</v>
      </c>
    </row>
    <row r="37" spans="1:5" ht="15">
      <c r="A37" t="s">
        <v>13</v>
      </c>
      <c r="B37" s="18">
        <v>0.09422982037333755</v>
      </c>
      <c r="C37" s="19">
        <f t="shared" si="4"/>
        <v>382350028.73092675</v>
      </c>
      <c r="D37" s="19">
        <f t="shared" si="2"/>
        <v>416854151.0583765</v>
      </c>
      <c r="E37" s="19">
        <f t="shared" si="3"/>
        <v>34504122.32744974</v>
      </c>
    </row>
    <row r="38" spans="1:5" ht="15">
      <c r="A38" t="s">
        <v>14</v>
      </c>
      <c r="B38" s="18">
        <v>0.07005544955883031</v>
      </c>
      <c r="C38" s="19">
        <f t="shared" si="4"/>
        <v>284259303.9597453</v>
      </c>
      <c r="D38" s="19">
        <f t="shared" si="2"/>
        <v>309911499.7477181</v>
      </c>
      <c r="E38" s="19">
        <f t="shared" si="3"/>
        <v>25652195.787972808</v>
      </c>
    </row>
    <row r="39" spans="1:5" ht="15">
      <c r="A39" t="s">
        <v>15</v>
      </c>
      <c r="B39" s="18">
        <v>0.09535096418667911</v>
      </c>
      <c r="C39" s="19">
        <f t="shared" si="4"/>
        <v>386899218.8656873</v>
      </c>
      <c r="D39" s="19">
        <f t="shared" si="2"/>
        <v>421813870.2924067</v>
      </c>
      <c r="E39" s="19">
        <f t="shared" si="3"/>
        <v>34914651.42671937</v>
      </c>
    </row>
    <row r="40" spans="1:5" ht="15">
      <c r="A40" t="s">
        <v>16</v>
      </c>
      <c r="B40" s="18">
        <v>0.08086568210915575</v>
      </c>
      <c r="C40" s="19">
        <f t="shared" si="4"/>
        <v>328123260.29362</v>
      </c>
      <c r="D40" s="19">
        <f t="shared" si="2"/>
        <v>357733837.67275786</v>
      </c>
      <c r="E40" s="19">
        <f t="shared" si="3"/>
        <v>29610577.379137874</v>
      </c>
    </row>
    <row r="41" spans="1:5" ht="15">
      <c r="A41" t="s">
        <v>17</v>
      </c>
      <c r="B41" s="18">
        <v>0.09566733082798996</v>
      </c>
      <c r="C41" s="19">
        <f t="shared" si="4"/>
        <v>388182918.5895694</v>
      </c>
      <c r="D41" s="19">
        <f t="shared" si="2"/>
        <v>423213413.9524107</v>
      </c>
      <c r="E41" s="19">
        <f t="shared" si="3"/>
        <v>35030495.36284131</v>
      </c>
    </row>
    <row r="42" spans="1:5" ht="15">
      <c r="A42" t="s">
        <v>18</v>
      </c>
      <c r="B42" s="20">
        <v>0.08281870850829788</v>
      </c>
      <c r="C42" s="19">
        <f t="shared" si="4"/>
        <v>336047924.66065025</v>
      </c>
      <c r="D42" s="19">
        <f t="shared" si="2"/>
        <v>366373641.48840165</v>
      </c>
      <c r="E42" s="19">
        <f t="shared" si="3"/>
        <v>30325716.827751398</v>
      </c>
    </row>
    <row r="43" spans="2:6" ht="15">
      <c r="B43" s="21">
        <f>SUM(B31:B42)</f>
        <v>1</v>
      </c>
      <c r="C43" s="22">
        <f>SUM(C31:C42)</f>
        <v>4057633000</v>
      </c>
      <c r="D43" s="22">
        <f>SUM(+D27)/B29</f>
        <v>4423802883.278401</v>
      </c>
      <c r="E43" s="22">
        <f>SUM(E31:E42)</f>
        <v>366169883.2784014</v>
      </c>
      <c r="F43" s="345"/>
    </row>
    <row r="45" ht="15">
      <c r="E45" s="346"/>
    </row>
    <row r="46" ht="15">
      <c r="E46" s="346"/>
    </row>
    <row r="47" ht="15">
      <c r="C47" s="347"/>
    </row>
  </sheetData>
  <sheetProtection/>
  <mergeCells count="1">
    <mergeCell ref="A1:K1"/>
  </mergeCells>
  <hyperlinks>
    <hyperlink ref="A9" r:id="rId1" display="http://www.sco.ca.gov/ard_payments_lrf_recon.html"/>
    <hyperlink ref="A20" r:id="rId2" display="http://www.sco.ca.gov/ard_payments_lrf_recon.html"/>
    <hyperlink ref="A10:A11" r:id="rId3" display="http://www.sco.ca.gov/ard_payments_lrf_recon.html"/>
    <hyperlink ref="A21:A23" r:id="rId4" display="http://www.sco.ca.gov/ard_payments_lrf_recon.html"/>
  </hyperlinks>
  <printOptions/>
  <pageMargins left="0.7" right="0.7" top="0.75" bottom="0.75" header="0.3" footer="0.3"/>
  <pageSetup fitToHeight="1" fitToWidth="1" horizontalDpi="600" verticalDpi="600" orientation="landscape" scale="66" r:id="rId5"/>
  <headerFooter alignWithMargins="0">
    <oddHeader>&amp;C&amp;"Calibri,Bold"&amp;14&amp;A</oddHeader>
    <oddFooter>&amp;L&amp;Z&amp;F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58"/>
  <sheetViews>
    <sheetView zoomScalePageLayoutView="0" workbookViewId="0" topLeftCell="A1">
      <selection activeCell="D3" sqref="D3"/>
    </sheetView>
  </sheetViews>
  <sheetFormatPr defaultColWidth="9.140625" defaultRowHeight="15" outlineLevelRow="1"/>
  <cols>
    <col min="1" max="1" width="27.57421875" style="2" customWidth="1"/>
    <col min="2" max="2" width="15.28125" style="2" bestFit="1" customWidth="1"/>
    <col min="3" max="4" width="15.00390625" style="2" customWidth="1"/>
    <col min="5" max="5" width="5.140625" style="2" customWidth="1"/>
    <col min="6" max="6" width="18.00390625" style="2" customWidth="1"/>
    <col min="7" max="7" width="15.7109375" style="2" customWidth="1"/>
    <col min="8" max="8" width="15.8515625" style="2" customWidth="1"/>
    <col min="9" max="16384" width="9.140625" style="2" customWidth="1"/>
  </cols>
  <sheetData>
    <row r="1" spans="1:4" ht="15.75" customHeight="1" thickBot="1">
      <c r="A1" s="186"/>
      <c r="B1" s="186" t="s">
        <v>100</v>
      </c>
      <c r="C1" s="483" t="str">
        <f>'County One Time Input-BASE'!C1</f>
        <v>2012-13</v>
      </c>
      <c r="D1" s="193"/>
    </row>
    <row r="2" spans="1:5" ht="16.5" thickBot="1">
      <c r="A2" s="1"/>
      <c r="B2" s="187" t="s">
        <v>97</v>
      </c>
      <c r="C2" s="484" t="str">
        <f>'County One Time Input-BASE'!C2</f>
        <v>San Mateo</v>
      </c>
      <c r="D2" s="194" t="s">
        <v>285</v>
      </c>
      <c r="E2" s="183"/>
    </row>
    <row r="3" spans="1:4" ht="16.5" thickBot="1">
      <c r="A3" s="1"/>
      <c r="B3" s="592" t="s">
        <v>286</v>
      </c>
      <c r="C3" s="603">
        <f>IF(D3&lt;&gt;0,D3,'Statewide Forecast Model'!E43)</f>
        <v>366169883.2784014</v>
      </c>
      <c r="D3" s="591"/>
    </row>
    <row r="4" spans="1:7" ht="15" customHeight="1">
      <c r="A4" s="605" t="s">
        <v>252</v>
      </c>
      <c r="B4" s="605"/>
      <c r="C4" s="605"/>
      <c r="D4" s="605"/>
      <c r="E4" s="605"/>
      <c r="F4" s="605"/>
      <c r="G4" s="605"/>
    </row>
    <row r="5" spans="1:7" ht="15.75" thickBot="1">
      <c r="A5" s="605"/>
      <c r="B5" s="605"/>
      <c r="C5" s="605"/>
      <c r="D5" s="605"/>
      <c r="E5" s="605"/>
      <c r="F5" s="605"/>
      <c r="G5" s="605"/>
    </row>
    <row r="6" spans="2:6" ht="15.75" customHeight="1" thickBot="1">
      <c r="B6" s="3" t="s">
        <v>98</v>
      </c>
      <c r="C6" s="379">
        <v>0.65</v>
      </c>
      <c r="D6" s="380">
        <f>C3*C6</f>
        <v>238010424.1309609</v>
      </c>
      <c r="F6" s="151"/>
    </row>
    <row r="7" spans="2:6" ht="16.5" thickBot="1">
      <c r="B7" s="5"/>
      <c r="F7" s="151"/>
    </row>
    <row r="8" spans="1:8" ht="60.75" thickBot="1">
      <c r="A8" s="216" t="s">
        <v>1</v>
      </c>
      <c r="B8" s="166" t="s">
        <v>244</v>
      </c>
      <c r="C8" s="168" t="s">
        <v>177</v>
      </c>
      <c r="D8" s="217" t="s">
        <v>245</v>
      </c>
      <c r="F8" s="244" t="str">
        <f>CONCATENATE(C2," ","County Portion (% Of Growth per DOF &amp; BH Spreadsheet")</f>
        <v>San Mateo County Portion (% Of Growth per DOF &amp; BH Spreadsheet</v>
      </c>
      <c r="G8" s="245" t="str">
        <f>CONCATENATE(C2," ","County Portion of Growth")</f>
        <v>San Mateo County Portion of Growth</v>
      </c>
      <c r="H8" s="17"/>
    </row>
    <row r="9" spans="1:8" ht="6.75" customHeight="1" thickBot="1">
      <c r="A9" s="165"/>
      <c r="B9" s="388"/>
      <c r="C9" s="388"/>
      <c r="D9" s="175"/>
      <c r="F9" s="161"/>
      <c r="G9" s="162"/>
      <c r="H9" s="183"/>
    </row>
    <row r="10" spans="1:8" ht="30">
      <c r="A10" s="383" t="s">
        <v>167</v>
      </c>
      <c r="B10" s="391">
        <f>D$6*C10</f>
        <v>100035781.26224287</v>
      </c>
      <c r="C10" s="386">
        <v>0.4203</v>
      </c>
      <c r="D10" s="330">
        <f>B10/C$3</f>
        <v>0.273195</v>
      </c>
      <c r="F10" s="477">
        <f>SUMIF(A70:A129,C2,B70:B128)</f>
        <v>0.0110072578</v>
      </c>
      <c r="G10" s="241">
        <f>B10*F10</f>
        <v>1101119.6335779165</v>
      </c>
      <c r="H10" s="184"/>
    </row>
    <row r="11" spans="1:8" ht="45">
      <c r="A11" s="383" t="s">
        <v>168</v>
      </c>
      <c r="B11" s="392">
        <f>D$6*C11</f>
        <v>95204169.65238437</v>
      </c>
      <c r="C11" s="387">
        <v>0.4</v>
      </c>
      <c r="D11" s="330">
        <f>B11/C$3</f>
        <v>0.26</v>
      </c>
      <c r="F11" s="477">
        <f>F10</f>
        <v>0.0110072578</v>
      </c>
      <c r="G11" s="241">
        <f>B11*F11</f>
        <v>1047936.8389987311</v>
      </c>
      <c r="H11" s="184"/>
    </row>
    <row r="12" spans="1:8" ht="30">
      <c r="A12" s="383" t="s">
        <v>169</v>
      </c>
      <c r="B12" s="392">
        <f>D$6*C12</f>
        <v>30869952.009785634</v>
      </c>
      <c r="C12" s="387">
        <v>0.1297</v>
      </c>
      <c r="D12" s="330">
        <f>B12/C$3</f>
        <v>0.08430500000000002</v>
      </c>
      <c r="F12" s="478">
        <f>SUMIF(A70:A129,C2,F70:F129)</f>
        <v>0.008039011364921843</v>
      </c>
      <c r="G12" s="241">
        <f>B12*F12</f>
        <v>248163.8950412586</v>
      </c>
      <c r="H12" s="184"/>
    </row>
    <row r="13" spans="1:8" ht="15.75" thickBot="1">
      <c r="A13" s="399" t="s">
        <v>178</v>
      </c>
      <c r="B13" s="397">
        <f>D$6*C13</f>
        <v>11900521.206548046</v>
      </c>
      <c r="C13" s="398">
        <v>0.05</v>
      </c>
      <c r="D13" s="330">
        <f>B13/C$3</f>
        <v>0.0325</v>
      </c>
      <c r="F13" s="256"/>
      <c r="G13" s="241"/>
      <c r="H13" s="184"/>
    </row>
    <row r="14" spans="1:8" ht="15.75" thickBot="1">
      <c r="A14" s="381" t="s">
        <v>179</v>
      </c>
      <c r="B14" s="389">
        <f>SUM(B10:B12)</f>
        <v>226109902.92441288</v>
      </c>
      <c r="C14" s="390">
        <f>SUM(C10:C12)</f>
        <v>0.9500000000000001</v>
      </c>
      <c r="D14" s="331">
        <f>SUM(D10:D13)</f>
        <v>0.6500000000000001</v>
      </c>
      <c r="F14" s="181"/>
      <c r="G14" s="190">
        <f>SUM(G10:G13)</f>
        <v>2397220.367617906</v>
      </c>
      <c r="H14" s="185"/>
    </row>
    <row r="16" ht="15.75" thickBot="1"/>
    <row r="17" spans="2:6" ht="15.75" customHeight="1" thickBot="1">
      <c r="B17" s="3" t="s">
        <v>99</v>
      </c>
      <c r="C17" s="379">
        <v>0.35</v>
      </c>
      <c r="D17" s="380">
        <f>C3*C17</f>
        <v>128159459.14744048</v>
      </c>
      <c r="F17" s="585" t="s">
        <v>274</v>
      </c>
    </row>
    <row r="18" ht="15.75" customHeight="1" thickBot="1">
      <c r="F18" s="151"/>
    </row>
    <row r="19" spans="1:8" ht="60.75" thickBot="1">
      <c r="A19" s="216" t="s">
        <v>1</v>
      </c>
      <c r="B19" s="166" t="s">
        <v>244</v>
      </c>
      <c r="C19" s="168" t="s">
        <v>177</v>
      </c>
      <c r="D19" s="217" t="s">
        <v>245</v>
      </c>
      <c r="E19" s="15"/>
      <c r="F19" s="244" t="str">
        <f>CONCATENATE(C2," ","County Portion (% of Allocation)")</f>
        <v>San Mateo County Portion (% of Allocation)</v>
      </c>
      <c r="G19" s="245" t="str">
        <f>CONCATENATE(C2," ","County Portion of Growth")</f>
        <v>San Mateo County Portion of Growth</v>
      </c>
      <c r="H19" s="17"/>
    </row>
    <row r="20" spans="1:8" ht="5.25" customHeight="1" thickBot="1">
      <c r="A20" s="176"/>
      <c r="B20" s="179"/>
      <c r="C20" s="179"/>
      <c r="D20" s="180"/>
      <c r="F20" s="163"/>
      <c r="G20" s="164"/>
      <c r="H20" s="183"/>
    </row>
    <row r="21" spans="1:8" ht="30">
      <c r="A21" s="383" t="s">
        <v>170</v>
      </c>
      <c r="B21" s="393">
        <f>D$17*C21</f>
        <v>12815945.91474405</v>
      </c>
      <c r="C21" s="384">
        <v>0.1</v>
      </c>
      <c r="D21" s="330">
        <f>B21/C$3</f>
        <v>0.035</v>
      </c>
      <c r="F21" s="479">
        <f>SUMIF($A$145:$A$204,$C$2,B$145:B$204)</f>
        <v>0</v>
      </c>
      <c r="G21" s="191">
        <f aca="true" t="shared" si="0" ref="G21:G26">B21*F21</f>
        <v>0</v>
      </c>
      <c r="H21" s="183"/>
    </row>
    <row r="22" spans="1:8" ht="30">
      <c r="A22" s="383" t="s">
        <v>171</v>
      </c>
      <c r="B22" s="394">
        <f>D$17*C22</f>
        <v>96119594.36058035</v>
      </c>
      <c r="C22" s="385">
        <v>0.75</v>
      </c>
      <c r="D22" s="330">
        <f>B22/C$3</f>
        <v>0.2625</v>
      </c>
      <c r="F22" s="480">
        <f>SUMIF($A$145:$A$204,$C$2,F$145:F$204)</f>
        <v>0</v>
      </c>
      <c r="G22" s="192">
        <f t="shared" si="0"/>
        <v>0</v>
      </c>
      <c r="H22" s="183"/>
    </row>
    <row r="23" spans="1:8" ht="30">
      <c r="A23" s="383" t="s">
        <v>172</v>
      </c>
      <c r="B23" s="394">
        <f>D$17*C23</f>
        <v>6407972.957372025</v>
      </c>
      <c r="C23" s="385">
        <v>0.05</v>
      </c>
      <c r="D23" s="330">
        <f>B23/C$3</f>
        <v>0.0175</v>
      </c>
      <c r="F23" s="480">
        <f>SUMIF($A$222:$A$281,$C$2,B$222:B$281)</f>
        <v>0</v>
      </c>
      <c r="G23" s="192">
        <f t="shared" si="0"/>
        <v>0</v>
      </c>
      <c r="H23" s="183"/>
    </row>
    <row r="24" spans="1:8" ht="30">
      <c r="A24" s="383" t="s">
        <v>173</v>
      </c>
      <c r="B24" s="394">
        <f>D$17*C24</f>
        <v>12815945.91474405</v>
      </c>
      <c r="C24" s="385">
        <v>0.1</v>
      </c>
      <c r="D24" s="330">
        <f>B24/C$3</f>
        <v>0.035</v>
      </c>
      <c r="F24" s="481">
        <f>SUMIF($A$222:$A$281,$C$2,F$222:F$281)</f>
        <v>0</v>
      </c>
      <c r="G24" s="327">
        <f>G25+G26</f>
        <v>0</v>
      </c>
      <c r="H24" s="183"/>
    </row>
    <row r="25" spans="1:8" ht="15" outlineLevel="1">
      <c r="A25" s="403" t="s">
        <v>158</v>
      </c>
      <c r="B25" s="404">
        <f>B24*C25</f>
        <v>12108633.859709326</v>
      </c>
      <c r="C25" s="405">
        <v>0.94481</v>
      </c>
      <c r="D25" s="332"/>
      <c r="E25" s="406"/>
      <c r="F25" s="482">
        <f>SUMIF($A$299:$A$358,$C$2,B$299:B$358)</f>
        <v>0</v>
      </c>
      <c r="G25" s="400">
        <f t="shared" si="0"/>
        <v>0</v>
      </c>
      <c r="H25" s="408"/>
    </row>
    <row r="26" spans="1:8" ht="15.75" outlineLevel="1" thickBot="1">
      <c r="A26" s="403" t="s">
        <v>159</v>
      </c>
      <c r="B26" s="404">
        <f>B24*C26</f>
        <v>707312.0550347241</v>
      </c>
      <c r="C26" s="405">
        <v>0.05519</v>
      </c>
      <c r="D26" s="332"/>
      <c r="E26" s="406"/>
      <c r="F26" s="482">
        <f>SUMIF($A$299:$A$358,$C$2,F$299:F$358)</f>
        <v>0</v>
      </c>
      <c r="G26" s="400">
        <f t="shared" si="0"/>
        <v>0</v>
      </c>
      <c r="H26" s="183"/>
    </row>
    <row r="27" spans="1:8" ht="15.75" thickBot="1">
      <c r="A27" s="381" t="s">
        <v>41</v>
      </c>
      <c r="B27" s="382">
        <f>SUM(B21:B24)</f>
        <v>128159459.14744048</v>
      </c>
      <c r="C27" s="333">
        <f>SUM(C21:C24)</f>
        <v>1</v>
      </c>
      <c r="D27" s="331">
        <f>SUM(D21:D24)</f>
        <v>0.35</v>
      </c>
      <c r="F27" s="328"/>
      <c r="G27" s="329">
        <f>SUM(G21:G24)</f>
        <v>0</v>
      </c>
      <c r="H27" s="183"/>
    </row>
    <row r="28" ht="15.75" thickBot="1">
      <c r="H28" s="183"/>
    </row>
    <row r="29" spans="1:8" ht="30.75" thickBot="1">
      <c r="A29" s="135" t="s">
        <v>180</v>
      </c>
      <c r="B29" s="136">
        <f>+B14+B27</f>
        <v>354269362.07185334</v>
      </c>
      <c r="C29" s="137"/>
      <c r="D29" s="198">
        <f>D14+D27</f>
        <v>1</v>
      </c>
      <c r="H29" s="183"/>
    </row>
    <row r="31" spans="1:7" ht="15.75">
      <c r="A31" s="609" t="s">
        <v>142</v>
      </c>
      <c r="B31" s="609"/>
      <c r="C31" s="609"/>
      <c r="D31" s="609"/>
      <c r="E31" s="609"/>
      <c r="F31" s="609"/>
      <c r="G31" s="609"/>
    </row>
    <row r="32" spans="1:7" ht="15">
      <c r="A32" s="605" t="s">
        <v>251</v>
      </c>
      <c r="B32" s="605"/>
      <c r="C32" s="605"/>
      <c r="D32" s="605"/>
      <c r="E32" s="605"/>
      <c r="F32" s="605"/>
      <c r="G32" s="605"/>
    </row>
    <row r="33" spans="1:7" ht="15">
      <c r="A33" t="s">
        <v>40</v>
      </c>
      <c r="B33"/>
      <c r="C33" s="39">
        <f>B10</f>
        <v>100035781.26224287</v>
      </c>
      <c r="F33" s="2" t="s">
        <v>103</v>
      </c>
      <c r="G33" s="147">
        <f>G10</f>
        <v>1101119.6335779165</v>
      </c>
    </row>
    <row r="34" spans="2:7" ht="15.75" thickBot="1">
      <c r="B34" s="2" t="s">
        <v>246</v>
      </c>
      <c r="C34" s="14">
        <f>B11</f>
        <v>95204169.65238437</v>
      </c>
      <c r="F34" s="2" t="s">
        <v>246</v>
      </c>
      <c r="G34" s="147">
        <f>G11</f>
        <v>1047936.8389987311</v>
      </c>
    </row>
    <row r="35" spans="1:7" ht="60.75" thickBot="1">
      <c r="A35" s="246" t="s">
        <v>37</v>
      </c>
      <c r="B35" s="247" t="s">
        <v>157</v>
      </c>
      <c r="C35" s="248" t="s">
        <v>39</v>
      </c>
      <c r="D35" s="15"/>
      <c r="E35" s="15"/>
      <c r="F35" s="243" t="str">
        <f>CONCATENATE(C2," County % Distribution ")</f>
        <v>San Mateo County % Distribution </v>
      </c>
      <c r="G35" s="242" t="str">
        <f>CONCATENATE(C2," County Portion (Distribution to Programs)")</f>
        <v>San Mateo County Portion (Distribution to Programs)</v>
      </c>
    </row>
    <row r="36" spans="1:7" ht="5.25" customHeight="1" thickBot="1">
      <c r="A36" s="205"/>
      <c r="B36" s="206"/>
      <c r="C36" s="200"/>
      <c r="F36" s="199"/>
      <c r="G36" s="200"/>
    </row>
    <row r="37" spans="1:7" ht="15">
      <c r="A37" s="207" t="s">
        <v>32</v>
      </c>
      <c r="B37" s="259">
        <v>0.23439625260479305</v>
      </c>
      <c r="C37" s="208">
        <f aca="true" t="shared" si="1" ref="C37:C46">ROUND(C$33*B37,0)</f>
        <v>23448012</v>
      </c>
      <c r="F37" s="262">
        <v>0.1418001943</v>
      </c>
      <c r="G37" s="208">
        <f aca="true" t="shared" si="2" ref="G37:G46">G$33*F37</f>
        <v>156138.97798889337</v>
      </c>
    </row>
    <row r="38" spans="1:7" ht="15">
      <c r="A38" s="202" t="s">
        <v>33</v>
      </c>
      <c r="B38" s="260">
        <v>0.24065768645080035</v>
      </c>
      <c r="C38" s="203">
        <f t="shared" si="1"/>
        <v>24074380</v>
      </c>
      <c r="F38" s="263">
        <v>0.1676692953</v>
      </c>
      <c r="G38" s="203">
        <f t="shared" si="2"/>
        <v>184623.95300300347</v>
      </c>
    </row>
    <row r="39" spans="1:7" ht="15">
      <c r="A39" s="202" t="s">
        <v>34</v>
      </c>
      <c r="B39" s="260">
        <v>0.03501733265201325</v>
      </c>
      <c r="C39" s="203">
        <f t="shared" si="1"/>
        <v>3502986</v>
      </c>
      <c r="F39" s="263">
        <v>0.0708449138</v>
      </c>
      <c r="G39" s="203">
        <f t="shared" si="2"/>
        <v>78008.72552431509</v>
      </c>
    </row>
    <row r="40" spans="1:7" ht="15">
      <c r="A40" s="202" t="s">
        <v>35</v>
      </c>
      <c r="B40" s="260">
        <v>0.008317508117231767</v>
      </c>
      <c r="C40" s="203">
        <f t="shared" si="1"/>
        <v>832048</v>
      </c>
      <c r="F40" s="263">
        <v>0.012561492</v>
      </c>
      <c r="G40" s="203">
        <f t="shared" si="2"/>
        <v>13831.70546823193</v>
      </c>
    </row>
    <row r="41" spans="1:7" ht="15">
      <c r="A41" s="202" t="s">
        <v>30</v>
      </c>
      <c r="B41" s="260">
        <v>0.03388041781004986</v>
      </c>
      <c r="C41" s="203">
        <f t="shared" si="1"/>
        <v>3389254</v>
      </c>
      <c r="F41" s="263">
        <v>0.0696125575</v>
      </c>
      <c r="G41" s="203">
        <f t="shared" si="2"/>
        <v>76651.75380682165</v>
      </c>
    </row>
    <row r="42" spans="1:7" ht="15">
      <c r="A42" s="202" t="s">
        <v>36</v>
      </c>
      <c r="B42" s="260">
        <v>0.412635955148062</v>
      </c>
      <c r="C42" s="203">
        <f>ROUND(C$33*B42,0)+C34</f>
        <v>136482529.65238437</v>
      </c>
      <c r="F42" s="263">
        <v>0.4963718089</v>
      </c>
      <c r="G42" s="203">
        <f>(G$33*F42)+G34</f>
        <v>1594501.5833331067</v>
      </c>
    </row>
    <row r="43" spans="1:7" ht="15">
      <c r="A43" s="202" t="s">
        <v>28</v>
      </c>
      <c r="B43" s="260">
        <v>0.011292437660975426</v>
      </c>
      <c r="C43" s="203">
        <f t="shared" si="1"/>
        <v>1129648</v>
      </c>
      <c r="F43" s="263">
        <v>0.0118243794</v>
      </c>
      <c r="G43" s="203">
        <f t="shared" si="2"/>
        <v>13020.056312214265</v>
      </c>
    </row>
    <row r="44" spans="1:7" ht="15">
      <c r="A44" s="202" t="s">
        <v>29</v>
      </c>
      <c r="B44" s="260">
        <v>0.02380240955607418</v>
      </c>
      <c r="C44" s="203">
        <f t="shared" si="1"/>
        <v>2381093</v>
      </c>
      <c r="F44" s="263">
        <v>0.0293153588</v>
      </c>
      <c r="G44" s="203">
        <f t="shared" si="2"/>
        <v>32279.71714006115</v>
      </c>
    </row>
    <row r="45" spans="1:7" ht="15">
      <c r="A45" s="202" t="s">
        <v>31</v>
      </c>
      <c r="B45" s="260">
        <v>0</v>
      </c>
      <c r="C45" s="203">
        <f t="shared" si="1"/>
        <v>0</v>
      </c>
      <c r="F45" s="263">
        <v>0</v>
      </c>
      <c r="G45" s="203">
        <f t="shared" si="2"/>
        <v>0</v>
      </c>
    </row>
    <row r="46" spans="1:7" ht="15.75" thickBot="1">
      <c r="A46" s="370"/>
      <c r="B46" s="261"/>
      <c r="C46" s="204">
        <f t="shared" si="1"/>
        <v>0</v>
      </c>
      <c r="F46" s="366">
        <v>0</v>
      </c>
      <c r="G46" s="204">
        <f t="shared" si="2"/>
        <v>0</v>
      </c>
    </row>
    <row r="47" spans="1:7" ht="15.75" thickBot="1">
      <c r="A47" s="213" t="s">
        <v>102</v>
      </c>
      <c r="B47" s="230">
        <f>SUM(B37:B46)</f>
        <v>1</v>
      </c>
      <c r="C47" s="215">
        <f>SUM(C37:C46)</f>
        <v>195239950.65238437</v>
      </c>
      <c r="F47" s="201">
        <f>SUM(F37:F45)</f>
        <v>1</v>
      </c>
      <c r="G47" s="215">
        <f>SUM(G37:G45)</f>
        <v>2149056.4725766475</v>
      </c>
    </row>
    <row r="50" spans="1:7" ht="15">
      <c r="A50" t="s">
        <v>43</v>
      </c>
      <c r="B50"/>
      <c r="C50" s="39">
        <f>B12</f>
        <v>30869952.009785634</v>
      </c>
      <c r="F50" s="2" t="s">
        <v>103</v>
      </c>
      <c r="G50" s="147">
        <f>G12</f>
        <v>248163.8950412586</v>
      </c>
    </row>
    <row r="51" ht="15.75" thickBot="1"/>
    <row r="52" spans="1:7" ht="75.75" thickBot="1">
      <c r="A52" s="246" t="s">
        <v>37</v>
      </c>
      <c r="B52" s="247" t="s">
        <v>106</v>
      </c>
      <c r="C52" s="248" t="s">
        <v>39</v>
      </c>
      <c r="D52" s="15"/>
      <c r="E52" s="15"/>
      <c r="F52" s="243" t="str">
        <f>CONCATENATE(C2," County % Distribution (PROG/TOT PS) per BH Spreadsheet")</f>
        <v>San Mateo County % Distribution (PROG/TOT PS) per BH Spreadsheet</v>
      </c>
      <c r="G52" s="242" t="str">
        <f>CONCATENATE(C2," County Portion (Distribution to Programs)")</f>
        <v>San Mateo County Portion (Distribution to Programs)</v>
      </c>
    </row>
    <row r="53" spans="1:7" ht="4.5" customHeight="1" thickBot="1">
      <c r="A53" s="218"/>
      <c r="B53" s="219"/>
      <c r="C53" s="220"/>
      <c r="F53" s="148"/>
      <c r="G53" s="149"/>
    </row>
    <row r="54" spans="1:7" ht="15">
      <c r="A54" s="221" t="s">
        <v>44</v>
      </c>
      <c r="B54" s="265">
        <v>0.1860292278185457</v>
      </c>
      <c r="C54" s="227">
        <f>ROUND(C50*B54,0)</f>
        <v>5742713</v>
      </c>
      <c r="F54" s="266">
        <v>0.2029597891992356</v>
      </c>
      <c r="G54" s="208">
        <f>F54*G50</f>
        <v>50367.29182443507</v>
      </c>
    </row>
    <row r="55" spans="1:7" ht="15.75" thickBot="1">
      <c r="A55" s="222" t="s">
        <v>45</v>
      </c>
      <c r="B55" s="261">
        <v>0.8139707721814543</v>
      </c>
      <c r="C55" s="223">
        <f>ROUND(C50*B55,0)</f>
        <v>25127239</v>
      </c>
      <c r="F55" s="264">
        <v>0.7970402108007644</v>
      </c>
      <c r="G55" s="204">
        <f>F55*G50</f>
        <v>197796.6032168235</v>
      </c>
    </row>
    <row r="56" spans="1:7" ht="15.75" thickBot="1">
      <c r="A56" s="213" t="s">
        <v>102</v>
      </c>
      <c r="B56" s="214">
        <f>SUM(B54:B55)</f>
        <v>1</v>
      </c>
      <c r="C56" s="215">
        <f>SUM(C54:C55)</f>
        <v>30869952</v>
      </c>
      <c r="F56" s="228">
        <f>SUM(F54:F55)</f>
        <v>1</v>
      </c>
      <c r="G56" s="229">
        <f>SUM(G54:G55)</f>
        <v>248163.8950412586</v>
      </c>
    </row>
    <row r="62" spans="1:7" ht="15">
      <c r="A62" s="606" t="s">
        <v>143</v>
      </c>
      <c r="B62" s="606"/>
      <c r="C62" s="606"/>
      <c r="D62" s="606"/>
      <c r="E62" s="606"/>
      <c r="F62" s="606"/>
      <c r="G62" s="606"/>
    </row>
    <row r="63" spans="1:7" ht="15">
      <c r="A63" s="605" t="s">
        <v>249</v>
      </c>
      <c r="B63" s="605"/>
      <c r="C63" s="605"/>
      <c r="D63" s="605"/>
      <c r="E63" s="605"/>
      <c r="F63" s="605"/>
      <c r="G63" s="605"/>
    </row>
    <row r="64" spans="1:7" ht="15">
      <c r="A64" s="349"/>
      <c r="B64" s="349"/>
      <c r="C64" s="349"/>
      <c r="D64" s="349"/>
      <c r="E64" s="349"/>
      <c r="F64" s="349"/>
      <c r="G64" s="349"/>
    </row>
    <row r="65" spans="2:7" ht="15">
      <c r="B65" s="363" t="s">
        <v>174</v>
      </c>
      <c r="C65" s="367">
        <f>B10+B11</f>
        <v>195239950.91462725</v>
      </c>
      <c r="D65" s="349"/>
      <c r="E65" s="349"/>
      <c r="F65" s="314" t="s">
        <v>84</v>
      </c>
      <c r="G65" s="364">
        <f>B12</f>
        <v>30869952.009785634</v>
      </c>
    </row>
    <row r="66" spans="1:6" ht="15.75" thickBot="1">
      <c r="A66" s="349"/>
      <c r="B66" s="395" t="s">
        <v>175</v>
      </c>
      <c r="C66" s="349"/>
      <c r="D66" s="349"/>
      <c r="E66" s="349"/>
      <c r="F66" s="365" t="s">
        <v>141</v>
      </c>
    </row>
    <row r="67" spans="1:7" ht="15.75" thickBot="1">
      <c r="A67" s="349"/>
      <c r="B67" s="607" t="s">
        <v>83</v>
      </c>
      <c r="C67" s="608"/>
      <c r="D67" s="349"/>
      <c r="E67" s="349"/>
      <c r="F67" s="607" t="s">
        <v>84</v>
      </c>
      <c r="G67" s="608"/>
    </row>
    <row r="68" spans="1:7" ht="6" customHeight="1" thickBot="1">
      <c r="A68" s="349"/>
      <c r="B68" s="356"/>
      <c r="C68" s="357"/>
      <c r="D68" s="349"/>
      <c r="E68" s="349"/>
      <c r="F68" s="356"/>
      <c r="G68" s="357"/>
    </row>
    <row r="69" spans="1:7" ht="15">
      <c r="A69" s="369"/>
      <c r="B69" s="396" t="s">
        <v>176</v>
      </c>
      <c r="C69" s="351"/>
      <c r="F69" s="490" t="s">
        <v>250</v>
      </c>
      <c r="G69" s="351"/>
    </row>
    <row r="70" spans="1:7" ht="15">
      <c r="A70" s="360" t="s">
        <v>186</v>
      </c>
      <c r="B70" s="350">
        <v>0.0427140051</v>
      </c>
      <c r="C70" s="351">
        <f aca="true" t="shared" si="3" ref="C70:C100">C$65*B70</f>
        <v>8339480.259091138</v>
      </c>
      <c r="F70" s="350">
        <v>0.05458476278108932</v>
      </c>
      <c r="G70" s="351">
        <f aca="true" t="shared" si="4" ref="G70:G100">G$65*F70</f>
        <v>1685029.0075177604</v>
      </c>
    </row>
    <row r="71" spans="1:7" ht="15">
      <c r="A71" s="348" t="s">
        <v>187</v>
      </c>
      <c r="B71" s="350">
        <v>0.0005108245</v>
      </c>
      <c r="C71" s="351">
        <f t="shared" si="3"/>
        <v>99733.350305989</v>
      </c>
      <c r="F71" s="350">
        <v>9.737742765298564E-05</v>
      </c>
      <c r="G71" s="351">
        <f t="shared" si="4"/>
        <v>3006.0365184840393</v>
      </c>
    </row>
    <row r="72" spans="1:7" ht="15">
      <c r="A72" s="348" t="s">
        <v>188</v>
      </c>
      <c r="B72" s="350">
        <v>0.0008315312</v>
      </c>
      <c r="C72" s="351">
        <f t="shared" si="3"/>
        <v>162348.1106719811</v>
      </c>
      <c r="F72" s="350">
        <v>0.00046239888619045846</v>
      </c>
      <c r="G72" s="351">
        <f t="shared" si="4"/>
        <v>14274.231426077782</v>
      </c>
    </row>
    <row r="73" spans="1:7" ht="15">
      <c r="A73" s="348" t="s">
        <v>189</v>
      </c>
      <c r="B73" s="350">
        <v>0.0085217805</v>
      </c>
      <c r="C73" s="351">
        <f t="shared" si="3"/>
        <v>1663792.0065252276</v>
      </c>
      <c r="F73" s="350">
        <v>0.011128020815201188</v>
      </c>
      <c r="G73" s="351">
        <f t="shared" si="4"/>
        <v>343521.4685291563</v>
      </c>
    </row>
    <row r="74" spans="1:7" ht="15">
      <c r="A74" s="348" t="s">
        <v>190</v>
      </c>
      <c r="B74" s="350">
        <v>0.0013808079</v>
      </c>
      <c r="C74" s="351">
        <f t="shared" si="3"/>
        <v>269588.86661852954</v>
      </c>
      <c r="F74" s="350">
        <v>0.0008968229145634285</v>
      </c>
      <c r="G74" s="351">
        <f t="shared" si="4"/>
        <v>27684.88033384912</v>
      </c>
    </row>
    <row r="75" spans="1:7" ht="15">
      <c r="A75" s="348" t="s">
        <v>191</v>
      </c>
      <c r="B75" s="350">
        <v>0.0007995952</v>
      </c>
      <c r="C75" s="351">
        <f t="shared" si="3"/>
        <v>156112.92759957156</v>
      </c>
      <c r="F75" s="350">
        <v>0.0012606528665501163</v>
      </c>
      <c r="G75" s="351">
        <f t="shared" si="4"/>
        <v>38916.293491400786</v>
      </c>
    </row>
    <row r="76" spans="1:7" ht="15">
      <c r="A76" s="348" t="s">
        <v>192</v>
      </c>
      <c r="B76" s="350">
        <v>0.0184998259</v>
      </c>
      <c r="C76" s="351">
        <f t="shared" si="3"/>
        <v>3611905.1006451496</v>
      </c>
      <c r="F76" s="350">
        <v>0.022868844918800767</v>
      </c>
      <c r="G76" s="351">
        <f t="shared" si="4"/>
        <v>705960.1451626098</v>
      </c>
    </row>
    <row r="77" spans="1:7" ht="15">
      <c r="A77" s="348" t="s">
        <v>193</v>
      </c>
      <c r="B77" s="350">
        <v>0.0021381231</v>
      </c>
      <c r="C77" s="351">
        <f t="shared" si="3"/>
        <v>417447.0490934307</v>
      </c>
      <c r="F77" s="350">
        <v>0.0011086016201186943</v>
      </c>
      <c r="G77" s="351">
        <f t="shared" si="4"/>
        <v>34222.4788110347</v>
      </c>
    </row>
    <row r="78" spans="1:7" ht="15">
      <c r="A78" s="348" t="s">
        <v>194</v>
      </c>
      <c r="B78" s="350">
        <v>0.0039622485</v>
      </c>
      <c r="C78" s="351">
        <f t="shared" si="3"/>
        <v>773589.2026515555</v>
      </c>
      <c r="F78" s="350">
        <v>0.0031068826651717467</v>
      </c>
      <c r="G78" s="351">
        <f t="shared" si="4"/>
        <v>95909.31877388671</v>
      </c>
    </row>
    <row r="79" spans="1:7" ht="15">
      <c r="A79" s="348" t="s">
        <v>195</v>
      </c>
      <c r="B79" s="350">
        <v>0.0237570112</v>
      </c>
      <c r="C79" s="351">
        <f t="shared" si="3"/>
        <v>4638317.70056625</v>
      </c>
      <c r="F79" s="350">
        <v>0.02993320339663993</v>
      </c>
      <c r="G79" s="351">
        <f t="shared" si="4"/>
        <v>924036.552353427</v>
      </c>
    </row>
    <row r="80" spans="1:7" ht="15">
      <c r="A80" s="348" t="s">
        <v>196</v>
      </c>
      <c r="B80" s="350">
        <v>0.0016475093</v>
      </c>
      <c r="C80" s="351">
        <f t="shared" si="3"/>
        <v>321659.6348633919</v>
      </c>
      <c r="F80" s="350">
        <v>0.0009952332866060714</v>
      </c>
      <c r="G80" s="351">
        <f t="shared" si="4"/>
        <v>30722.803796070657</v>
      </c>
    </row>
    <row r="81" spans="1:7" ht="15">
      <c r="A81" s="348" t="s">
        <v>197</v>
      </c>
      <c r="B81" s="350">
        <v>0.0058345289</v>
      </c>
      <c r="C81" s="351">
        <f t="shared" si="3"/>
        <v>1139133.1360459742</v>
      </c>
      <c r="F81" s="350">
        <v>0.004921435091423468</v>
      </c>
      <c r="G81" s="351">
        <f t="shared" si="4"/>
        <v>151924.46509151743</v>
      </c>
    </row>
    <row r="82" spans="1:7" ht="15">
      <c r="A82" s="348" t="s">
        <v>198</v>
      </c>
      <c r="B82" s="350">
        <v>0.0037979967</v>
      </c>
      <c r="C82" s="351">
        <f t="shared" si="3"/>
        <v>741520.6892819162</v>
      </c>
      <c r="F82" s="350">
        <v>0.006111371084002517</v>
      </c>
      <c r="G82" s="351">
        <f t="shared" si="4"/>
        <v>188657.7320771493</v>
      </c>
    </row>
    <row r="83" spans="1:7" ht="15">
      <c r="A83" s="348" t="s">
        <v>199</v>
      </c>
      <c r="B83" s="350">
        <v>0.0008661875</v>
      </c>
      <c r="C83" s="351">
        <f t="shared" si="3"/>
        <v>169114.4049828637</v>
      </c>
      <c r="F83" s="350">
        <v>0.0005336578665724027</v>
      </c>
      <c r="G83" s="351">
        <f t="shared" si="4"/>
        <v>16473.992730734655</v>
      </c>
    </row>
    <row r="84" spans="1:7" ht="15">
      <c r="A84" s="348" t="s">
        <v>200</v>
      </c>
      <c r="B84" s="350">
        <v>0.0284206096</v>
      </c>
      <c r="C84" s="351">
        <f t="shared" si="3"/>
        <v>5548838.4232677845</v>
      </c>
      <c r="F84" s="350">
        <v>0.023415285185902388</v>
      </c>
      <c r="G84" s="351">
        <f t="shared" si="4"/>
        <v>722828.7299842512</v>
      </c>
    </row>
    <row r="85" spans="1:7" ht="15">
      <c r="A85" s="348" t="s">
        <v>201</v>
      </c>
      <c r="B85" s="350">
        <v>0.0030770033</v>
      </c>
      <c r="C85" s="351">
        <f t="shared" si="3"/>
        <v>600753.9732561461</v>
      </c>
      <c r="F85" s="350">
        <v>0.0017037357983620898</v>
      </c>
      <c r="G85" s="351">
        <f t="shared" si="4"/>
        <v>52594.242332791524</v>
      </c>
    </row>
    <row r="86" spans="1:7" ht="15">
      <c r="A86" s="348" t="s">
        <v>202</v>
      </c>
      <c r="B86" s="350">
        <v>0.0022245209</v>
      </c>
      <c r="C86" s="351">
        <f t="shared" si="3"/>
        <v>434315.35132456245</v>
      </c>
      <c r="F86" s="350">
        <v>0.002511594241181609</v>
      </c>
      <c r="G86" s="351">
        <f t="shared" si="4"/>
        <v>77532.79369333024</v>
      </c>
    </row>
    <row r="87" spans="1:7" ht="15">
      <c r="A87" s="348" t="s">
        <v>203</v>
      </c>
      <c r="B87" s="350">
        <v>0.0016258407</v>
      </c>
      <c r="C87" s="351">
        <f t="shared" si="3"/>
        <v>317429.0584630032</v>
      </c>
      <c r="F87" s="350">
        <v>0.001183177280460982</v>
      </c>
      <c r="G87" s="351">
        <f t="shared" si="4"/>
        <v>36524.625866899194</v>
      </c>
    </row>
    <row r="88" spans="1:7" ht="15">
      <c r="A88" s="348" t="s">
        <v>204</v>
      </c>
      <c r="B88" s="350">
        <v>0.3277189972</v>
      </c>
      <c r="C88" s="351">
        <f t="shared" si="3"/>
        <v>63983840.92711886</v>
      </c>
      <c r="F88" s="350">
        <v>0.3842272226086044</v>
      </c>
      <c r="G88" s="351">
        <f t="shared" si="4"/>
        <v>11861075.92278084</v>
      </c>
    </row>
    <row r="89" spans="1:7" ht="15">
      <c r="A89" s="348" t="s">
        <v>205</v>
      </c>
      <c r="B89" s="350">
        <v>0.0035575546</v>
      </c>
      <c r="C89" s="351">
        <f t="shared" si="3"/>
        <v>694576.7854801064</v>
      </c>
      <c r="F89" s="350">
        <v>0.0026342759874983354</v>
      </c>
      <c r="G89" s="351">
        <f t="shared" si="4"/>
        <v>81319.97331460427</v>
      </c>
    </row>
    <row r="90" spans="1:7" ht="15">
      <c r="A90" s="348" t="s">
        <v>206</v>
      </c>
      <c r="B90" s="350">
        <v>0.0032143883</v>
      </c>
      <c r="C90" s="351">
        <f t="shared" si="3"/>
        <v>627577.0139125522</v>
      </c>
      <c r="F90" s="350">
        <v>0.0035937187111847557</v>
      </c>
      <c r="G90" s="351">
        <f t="shared" si="4"/>
        <v>110937.92415094208</v>
      </c>
    </row>
    <row r="91" spans="1:7" ht="15">
      <c r="A91" s="348" t="s">
        <v>207</v>
      </c>
      <c r="B91" s="350">
        <v>0.0010107205</v>
      </c>
      <c r="C91" s="351">
        <f t="shared" si="3"/>
        <v>197333.0208084075</v>
      </c>
      <c r="F91" s="350">
        <v>0.0008199633424702754</v>
      </c>
      <c r="G91" s="351">
        <f t="shared" si="4"/>
        <v>25312.229031840823</v>
      </c>
    </row>
    <row r="92" spans="1:7" ht="15">
      <c r="A92" s="348" t="s">
        <v>208</v>
      </c>
      <c r="B92" s="350">
        <v>0.0053712331</v>
      </c>
      <c r="C92" s="351">
        <f t="shared" si="3"/>
        <v>1048679.2867950213</v>
      </c>
      <c r="F92" s="350">
        <v>0.0068848743038209485</v>
      </c>
      <c r="G92" s="351">
        <f t="shared" si="4"/>
        <v>212535.73935235894</v>
      </c>
    </row>
    <row r="93" spans="1:7" ht="15">
      <c r="A93" s="348" t="s">
        <v>209</v>
      </c>
      <c r="B93" s="350">
        <v>0.0073697496</v>
      </c>
      <c r="C93" s="351">
        <f t="shared" si="3"/>
        <v>1438869.550157094</v>
      </c>
      <c r="F93" s="350">
        <v>0.005888052488630647</v>
      </c>
      <c r="G93" s="351">
        <f t="shared" si="4"/>
        <v>181763.89775512693</v>
      </c>
    </row>
    <row r="94" spans="1:7" ht="15">
      <c r="A94" s="348" t="s">
        <v>210</v>
      </c>
      <c r="B94" s="350">
        <v>0.0005953046</v>
      </c>
      <c r="C94" s="351">
        <f t="shared" si="3"/>
        <v>116227.24088325183</v>
      </c>
      <c r="F94" s="350">
        <v>0.0004749458219104025</v>
      </c>
      <c r="G94" s="351">
        <f t="shared" si="4"/>
        <v>14661.55472962232</v>
      </c>
    </row>
    <row r="95" spans="1:7" ht="15">
      <c r="A95" s="348" t="s">
        <v>211</v>
      </c>
      <c r="B95" s="350">
        <v>0.0006165933</v>
      </c>
      <c r="C95" s="351">
        <f t="shared" si="3"/>
        <v>120383.64562628804</v>
      </c>
      <c r="F95" s="350">
        <v>0.0002594833649917824</v>
      </c>
      <c r="G95" s="351">
        <f t="shared" si="4"/>
        <v>8010.239024634013</v>
      </c>
    </row>
    <row r="96" spans="1:7" ht="15">
      <c r="A96" s="348" t="s">
        <v>212</v>
      </c>
      <c r="B96" s="350">
        <v>0.0079682716</v>
      </c>
      <c r="C96" s="351">
        <f t="shared" si="3"/>
        <v>1555724.9560584184</v>
      </c>
      <c r="F96" s="350">
        <v>0.009113647560685556</v>
      </c>
      <c r="G96" s="351">
        <f t="shared" si="4"/>
        <v>281337.862832463</v>
      </c>
    </row>
    <row r="97" spans="1:7" ht="15">
      <c r="A97" s="348" t="s">
        <v>213</v>
      </c>
      <c r="B97" s="350">
        <v>0.0029390577</v>
      </c>
      <c r="C97" s="351">
        <f t="shared" si="3"/>
        <v>573821.4810832572</v>
      </c>
      <c r="F97" s="350">
        <v>0.003587183131263431</v>
      </c>
      <c r="G97" s="351">
        <f t="shared" si="4"/>
        <v>110736.17111241467</v>
      </c>
    </row>
    <row r="98" spans="1:7" ht="15">
      <c r="A98" s="348" t="s">
        <v>214</v>
      </c>
      <c r="B98" s="350">
        <v>0.0016613674</v>
      </c>
      <c r="C98" s="351">
        <f t="shared" si="3"/>
        <v>324365.2896271619</v>
      </c>
      <c r="F98" s="350">
        <v>0.003654901242407215</v>
      </c>
      <c r="G98" s="351">
        <f t="shared" si="4"/>
        <v>112826.62595361662</v>
      </c>
    </row>
    <row r="99" spans="1:7" ht="15">
      <c r="A99" s="348" t="s">
        <v>215</v>
      </c>
      <c r="B99" s="350">
        <v>0.0533345774</v>
      </c>
      <c r="C99" s="351">
        <f t="shared" si="3"/>
        <v>10413040.273628388</v>
      </c>
      <c r="F99" s="350">
        <v>0.03397812192475488</v>
      </c>
      <c r="G99" s="351">
        <f t="shared" si="4"/>
        <v>1048902.993199828</v>
      </c>
    </row>
    <row r="100" spans="1:7" ht="15">
      <c r="A100" s="348" t="s">
        <v>216</v>
      </c>
      <c r="B100" s="350">
        <v>0.0090135514</v>
      </c>
      <c r="C100" s="351">
        <f t="shared" si="3"/>
        <v>1759805.3329024697</v>
      </c>
      <c r="F100" s="350">
        <v>0.0037217529875206152</v>
      </c>
      <c r="G100" s="351">
        <f t="shared" si="4"/>
        <v>114890.3361170377</v>
      </c>
    </row>
    <row r="101" spans="1:7" ht="15">
      <c r="A101" s="348" t="s">
        <v>217</v>
      </c>
      <c r="B101" s="350">
        <v>0.0010530022</v>
      </c>
      <c r="C101" s="351">
        <f aca="true" t="shared" si="5" ref="C101:C128">C$65*B101</f>
        <v>205588.0978409945</v>
      </c>
      <c r="F101" s="350">
        <v>0.0008653153798861046</v>
      </c>
      <c r="G101" s="351">
        <f aca="true" t="shared" si="6" ref="G101:G128">G$65*F101</f>
        <v>26712.244250413474</v>
      </c>
    </row>
    <row r="102" spans="1:7" ht="15">
      <c r="A102" s="348" t="s">
        <v>218</v>
      </c>
      <c r="B102" s="350">
        <v>0.0578603991</v>
      </c>
      <c r="C102" s="351">
        <f t="shared" si="5"/>
        <v>11296661.480184743</v>
      </c>
      <c r="F102" s="350">
        <v>0.03000466868401152</v>
      </c>
      <c r="G102" s="351">
        <f t="shared" si="6"/>
        <v>926242.6823449534</v>
      </c>
    </row>
    <row r="103" spans="1:7" ht="15">
      <c r="A103" s="348" t="s">
        <v>219</v>
      </c>
      <c r="B103" s="350">
        <v>0.0516765771</v>
      </c>
      <c r="C103" s="351">
        <f t="shared" si="5"/>
        <v>10089332.376439951</v>
      </c>
      <c r="F103" s="350">
        <v>0.05541565731085765</v>
      </c>
      <c r="G103" s="351">
        <f t="shared" si="6"/>
        <v>1710678.6817769022</v>
      </c>
    </row>
    <row r="104" spans="1:7" ht="15">
      <c r="A104" s="348" t="s">
        <v>220</v>
      </c>
      <c r="B104" s="350">
        <v>0.0009559412</v>
      </c>
      <c r="C104" s="351">
        <f t="shared" si="5"/>
        <v>186637.91296526988</v>
      </c>
      <c r="F104" s="350">
        <v>0.0008684925251446558</v>
      </c>
      <c r="G104" s="351">
        <f t="shared" si="6"/>
        <v>26810.32257207307</v>
      </c>
    </row>
    <row r="105" spans="1:7" ht="15">
      <c r="A105" s="348" t="s">
        <v>221</v>
      </c>
      <c r="B105" s="350">
        <v>0.051054298</v>
      </c>
      <c r="C105" s="351">
        <f t="shared" si="5"/>
        <v>9967838.635500751</v>
      </c>
      <c r="F105" s="350">
        <v>0.03679543863554552</v>
      </c>
      <c r="G105" s="351">
        <f t="shared" si="6"/>
        <v>1135873.4248583023</v>
      </c>
    </row>
    <row r="106" spans="1:7" ht="15">
      <c r="A106" s="348" t="s">
        <v>222</v>
      </c>
      <c r="B106" s="350">
        <v>0.0759629336</v>
      </c>
      <c r="C106" s="351">
        <f t="shared" si="5"/>
        <v>14830999.42739509</v>
      </c>
      <c r="F106" s="350">
        <v>0.05021108129191206</v>
      </c>
      <c r="G106" s="351">
        <f t="shared" si="6"/>
        <v>1550013.6698407705</v>
      </c>
    </row>
    <row r="107" spans="1:7" ht="15">
      <c r="A107" s="348" t="s">
        <v>223</v>
      </c>
      <c r="B107" s="350">
        <v>0.0212953063</v>
      </c>
      <c r="C107" s="351">
        <f t="shared" si="5"/>
        <v>4157694.5567239528</v>
      </c>
      <c r="F107" s="350">
        <v>0.026168224602194118</v>
      </c>
      <c r="G107" s="351">
        <f t="shared" si="6"/>
        <v>807811.8376510242</v>
      </c>
    </row>
    <row r="108" spans="1:7" ht="15">
      <c r="A108" s="348" t="s">
        <v>224</v>
      </c>
      <c r="B108" s="350">
        <v>0.0150759989</v>
      </c>
      <c r="C108" s="351">
        <f t="shared" si="5"/>
        <v>2943437.2852249746</v>
      </c>
      <c r="F108" s="350">
        <v>0.01699403457287652</v>
      </c>
      <c r="G108" s="351">
        <f t="shared" si="6"/>
        <v>524605.031717336</v>
      </c>
    </row>
    <row r="109" spans="1:7" ht="15">
      <c r="A109" s="348" t="s">
        <v>225</v>
      </c>
      <c r="B109" s="350">
        <v>0.0084462997</v>
      </c>
      <c r="C109" s="351">
        <f t="shared" si="5"/>
        <v>1649055.1388382309</v>
      </c>
      <c r="F109" s="350">
        <v>0.00874877206742641</v>
      </c>
      <c r="G109" s="351">
        <f t="shared" si="6"/>
        <v>270074.1738660063</v>
      </c>
    </row>
    <row r="110" spans="1:7" ht="15">
      <c r="A110" s="360" t="s">
        <v>185</v>
      </c>
      <c r="B110" s="361">
        <v>0.0110072578</v>
      </c>
      <c r="C110" s="351">
        <f t="shared" si="5"/>
        <v>2149056.472576648</v>
      </c>
      <c r="D110" s="362"/>
      <c r="E110" s="362"/>
      <c r="F110" s="361">
        <v>0.008039011364921843</v>
      </c>
      <c r="G110" s="351">
        <f t="shared" si="6"/>
        <v>248163.8950412586</v>
      </c>
    </row>
    <row r="111" spans="1:7" ht="15">
      <c r="A111" s="360" t="s">
        <v>226</v>
      </c>
      <c r="B111" s="361">
        <v>0.0074897979</v>
      </c>
      <c r="C111" s="351">
        <f t="shared" si="5"/>
        <v>1462307.7743564784</v>
      </c>
      <c r="D111" s="362"/>
      <c r="E111" s="362"/>
      <c r="F111" s="361">
        <v>0.011227588162479527</v>
      </c>
      <c r="G111" s="351">
        <f t="shared" si="6"/>
        <v>346595.10776138026</v>
      </c>
    </row>
    <row r="112" spans="1:7" ht="15">
      <c r="A112" s="360" t="s">
        <v>227</v>
      </c>
      <c r="B112" s="361">
        <v>0.0412592977</v>
      </c>
      <c r="C112" s="351">
        <f t="shared" si="5"/>
        <v>8055463.257719994</v>
      </c>
      <c r="D112" s="362"/>
      <c r="E112" s="362"/>
      <c r="F112" s="361">
        <v>0.03623852357589962</v>
      </c>
      <c r="G112" s="351">
        <f t="shared" si="6"/>
        <v>1118681.4836935066</v>
      </c>
    </row>
    <row r="113" spans="1:7" ht="15">
      <c r="A113" s="360" t="s">
        <v>228</v>
      </c>
      <c r="B113" s="361">
        <v>0.005571899</v>
      </c>
      <c r="C113" s="351">
        <f t="shared" si="5"/>
        <v>1087857.2872612607</v>
      </c>
      <c r="D113" s="362"/>
      <c r="E113" s="362"/>
      <c r="F113" s="361">
        <v>0.01060107876087326</v>
      </c>
      <c r="G113" s="351">
        <f t="shared" si="6"/>
        <v>327254.7926001153</v>
      </c>
    </row>
    <row r="114" spans="1:7" ht="15">
      <c r="A114" s="348" t="s">
        <v>229</v>
      </c>
      <c r="B114" s="350">
        <v>0.0061842156</v>
      </c>
      <c r="C114" s="351">
        <f t="shared" si="5"/>
        <v>1207405.9501894722</v>
      </c>
      <c r="F114" s="350">
        <v>0.004778920301902801</v>
      </c>
      <c r="G114" s="351">
        <f t="shared" si="6"/>
        <v>147525.04037832975</v>
      </c>
    </row>
    <row r="115" spans="1:7" ht="15">
      <c r="A115" s="348" t="s">
        <v>230</v>
      </c>
      <c r="B115" s="350">
        <v>0.0005082747</v>
      </c>
      <c r="C115" s="351">
        <f t="shared" si="5"/>
        <v>99235.52747914688</v>
      </c>
      <c r="F115" s="350">
        <v>0.0001346929181122374</v>
      </c>
      <c r="G115" s="351">
        <f t="shared" si="6"/>
        <v>4157.963918182754</v>
      </c>
    </row>
    <row r="116" spans="1:7" ht="15">
      <c r="A116" s="348" t="s">
        <v>231</v>
      </c>
      <c r="B116" s="350">
        <v>0.0017501492</v>
      </c>
      <c r="C116" s="351">
        <f t="shared" si="5"/>
        <v>341699.04390127416</v>
      </c>
      <c r="F116" s="350">
        <v>0.0018416391597867153</v>
      </c>
      <c r="G116" s="351">
        <f t="shared" si="6"/>
        <v>56851.31248195784</v>
      </c>
    </row>
    <row r="117" spans="1:7" ht="15">
      <c r="A117" s="348" t="s">
        <v>232</v>
      </c>
      <c r="B117" s="350">
        <v>0.0066903478</v>
      </c>
      <c r="C117" s="351">
        <f t="shared" si="5"/>
        <v>1306223.1760737845</v>
      </c>
      <c r="F117" s="350">
        <v>0.010395359420215399</v>
      </c>
      <c r="G117" s="351">
        <f t="shared" si="6"/>
        <v>320904.2464265224</v>
      </c>
    </row>
    <row r="118" spans="1:7" ht="15">
      <c r="A118" s="348" t="s">
        <v>233</v>
      </c>
      <c r="B118" s="350">
        <v>0.0110910376</v>
      </c>
      <c r="C118" s="351">
        <f t="shared" si="5"/>
        <v>2165413.6366162854</v>
      </c>
      <c r="F118" s="350">
        <v>0.007889818201444748</v>
      </c>
      <c r="G118" s="351">
        <f t="shared" si="6"/>
        <v>243558.30924453257</v>
      </c>
    </row>
    <row r="119" spans="1:7" ht="15">
      <c r="A119" s="348" t="s">
        <v>234</v>
      </c>
      <c r="B119" s="350">
        <v>0.0118270516</v>
      </c>
      <c r="C119" s="351">
        <f t="shared" si="5"/>
        <v>2309112.9738487634</v>
      </c>
      <c r="F119" s="350">
        <v>0.01168966076297842</v>
      </c>
      <c r="G119" s="351">
        <f t="shared" si="6"/>
        <v>360859.2667638179</v>
      </c>
    </row>
    <row r="120" spans="1:7" ht="15">
      <c r="A120" s="348" t="s">
        <v>235</v>
      </c>
      <c r="B120" s="350">
        <v>0.0031896726</v>
      </c>
      <c r="C120" s="351">
        <f t="shared" si="5"/>
        <v>622751.5218577315</v>
      </c>
      <c r="F120" s="350">
        <v>0.007492203057426227</v>
      </c>
      <c r="G120" s="351">
        <f t="shared" si="6"/>
        <v>231283.94883031683</v>
      </c>
    </row>
    <row r="121" spans="1:7" ht="15">
      <c r="A121" s="348" t="s">
        <v>236</v>
      </c>
      <c r="B121" s="350">
        <v>0.0030289569</v>
      </c>
      <c r="C121" s="351">
        <f t="shared" si="5"/>
        <v>591373.3964785215</v>
      </c>
      <c r="F121" s="350">
        <v>0.0019451561143185648</v>
      </c>
      <c r="G121" s="351">
        <f t="shared" si="6"/>
        <v>60046.87590055519</v>
      </c>
    </row>
    <row r="122" spans="1:7" ht="15">
      <c r="A122" s="348" t="s">
        <v>237</v>
      </c>
      <c r="B122" s="350">
        <v>0.0013538046</v>
      </c>
      <c r="C122" s="351">
        <f t="shared" si="5"/>
        <v>264316.7436519966</v>
      </c>
      <c r="F122" s="350">
        <v>0.0006785211378795488</v>
      </c>
      <c r="G122" s="351">
        <f t="shared" si="6"/>
        <v>20945.91496396681</v>
      </c>
    </row>
    <row r="123" spans="1:7" ht="15">
      <c r="A123" s="348" t="s">
        <v>238</v>
      </c>
      <c r="B123" s="350">
        <v>0.0096295817</v>
      </c>
      <c r="C123" s="351">
        <f t="shared" si="5"/>
        <v>1880079.058436393</v>
      </c>
      <c r="F123" s="350">
        <v>0.01595320532739675</v>
      </c>
      <c r="G123" s="351">
        <f t="shared" si="6"/>
        <v>492474.6828589942</v>
      </c>
    </row>
    <row r="124" spans="1:7" ht="15">
      <c r="A124" s="348" t="s">
        <v>239</v>
      </c>
      <c r="B124" s="350">
        <v>0.0016879849</v>
      </c>
      <c r="C124" s="351">
        <f t="shared" si="5"/>
        <v>329562.08902063203</v>
      </c>
      <c r="F124" s="350">
        <v>0.0010230331094156929</v>
      </c>
      <c r="G124" s="351">
        <f t="shared" si="6"/>
        <v>31580.982992084213</v>
      </c>
    </row>
    <row r="125" spans="1:7" ht="15">
      <c r="A125" s="348" t="s">
        <v>240</v>
      </c>
      <c r="B125" s="350">
        <v>0.0111704884</v>
      </c>
      <c r="C125" s="351">
        <f t="shared" si="5"/>
        <v>2180925.606908413</v>
      </c>
      <c r="F125" s="350">
        <v>0.014754682312891742</v>
      </c>
      <c r="G125" s="351">
        <f t="shared" si="6"/>
        <v>455476.334918601</v>
      </c>
    </row>
    <row r="126" spans="1:7" ht="15">
      <c r="A126" s="348" t="s">
        <v>241</v>
      </c>
      <c r="B126" s="350">
        <v>0.0043793223</v>
      </c>
      <c r="C126" s="351">
        <f t="shared" si="5"/>
        <v>855018.6708913326</v>
      </c>
      <c r="F126" s="350">
        <v>0.0035840196399687546</v>
      </c>
      <c r="G126" s="351">
        <f t="shared" si="6"/>
        <v>110638.51428796464</v>
      </c>
    </row>
    <row r="127" spans="1:7" ht="15">
      <c r="A127" s="348" t="s">
        <v>242</v>
      </c>
      <c r="B127" s="350">
        <v>0.0038187869</v>
      </c>
      <c r="C127" s="351">
        <f t="shared" si="5"/>
        <v>745579.7669094215</v>
      </c>
      <c r="F127" s="350">
        <v>0</v>
      </c>
      <c r="G127" s="351">
        <f t="shared" si="6"/>
        <v>0</v>
      </c>
    </row>
    <row r="128" spans="1:7" ht="15">
      <c r="A128" s="348" t="s">
        <v>138</v>
      </c>
      <c r="B128" s="354">
        <v>0</v>
      </c>
      <c r="C128" s="355">
        <f t="shared" si="5"/>
        <v>0</v>
      </c>
      <c r="F128" s="350">
        <v>0</v>
      </c>
      <c r="G128" s="351">
        <f t="shared" si="6"/>
        <v>0</v>
      </c>
    </row>
    <row r="129" spans="1:7" ht="15.75" thickBot="1">
      <c r="A129" s="348" t="s">
        <v>139</v>
      </c>
      <c r="B129" s="376">
        <f>SUM(B69:B128)</f>
        <v>1.0000000000000002</v>
      </c>
      <c r="C129" s="353">
        <f>SUM(C69:C128)</f>
        <v>195239950.9146273</v>
      </c>
      <c r="F129" s="377">
        <f>SUM(F69:F128)</f>
        <v>0.9999999999999998</v>
      </c>
      <c r="G129" s="359">
        <f>SUM(G69:G128)</f>
        <v>30869952.00978564</v>
      </c>
    </row>
    <row r="131" ht="30.75" customHeight="1"/>
    <row r="132" ht="30.75" customHeight="1"/>
    <row r="133" ht="31.5" customHeight="1"/>
    <row r="135" spans="1:7" ht="15.75">
      <c r="A135" s="609" t="s">
        <v>156</v>
      </c>
      <c r="B135" s="609"/>
      <c r="C135" s="609"/>
      <c r="D135" s="609"/>
      <c r="E135" s="609"/>
      <c r="F135" s="609"/>
      <c r="G135" s="609"/>
    </row>
    <row r="137" spans="1:7" ht="15">
      <c r="A137" s="606" t="s">
        <v>144</v>
      </c>
      <c r="B137" s="606"/>
      <c r="C137" s="606"/>
      <c r="D137" s="606"/>
      <c r="E137" s="606"/>
      <c r="F137" s="606"/>
      <c r="G137" s="606"/>
    </row>
    <row r="138" spans="1:7" ht="15" customHeight="1">
      <c r="A138" s="605" t="s">
        <v>265</v>
      </c>
      <c r="B138" s="605"/>
      <c r="C138" s="605"/>
      <c r="D138" s="605"/>
      <c r="E138" s="605"/>
      <c r="F138" s="605"/>
      <c r="G138" s="605"/>
    </row>
    <row r="139" spans="1:7" ht="15">
      <c r="A139" s="349"/>
      <c r="B139" s="349"/>
      <c r="C139" s="349"/>
      <c r="D139" s="349"/>
      <c r="E139" s="349"/>
      <c r="F139" s="349"/>
      <c r="G139" s="349"/>
    </row>
    <row r="140" spans="2:7" ht="15">
      <c r="B140" s="363" t="s">
        <v>85</v>
      </c>
      <c r="C140" s="367">
        <f>B21</f>
        <v>12815945.91474405</v>
      </c>
      <c r="D140" s="349"/>
      <c r="E140" s="349"/>
      <c r="F140" s="314" t="s">
        <v>86</v>
      </c>
      <c r="G140" s="364">
        <f>B22</f>
        <v>96119594.36058035</v>
      </c>
    </row>
    <row r="141" spans="1:6" ht="15.75" thickBot="1">
      <c r="A141" s="349"/>
      <c r="B141" s="349"/>
      <c r="C141" s="349"/>
      <c r="D141" s="349"/>
      <c r="E141" s="349"/>
      <c r="F141" s="365"/>
    </row>
    <row r="142" spans="1:7" ht="15.75" customHeight="1" thickBot="1">
      <c r="A142" s="349"/>
      <c r="B142" s="607" t="s">
        <v>85</v>
      </c>
      <c r="C142" s="608"/>
      <c r="D142" s="349"/>
      <c r="E142" s="349"/>
      <c r="F142" s="607" t="s">
        <v>86</v>
      </c>
      <c r="G142" s="608"/>
    </row>
    <row r="143" spans="1:7" ht="6" customHeight="1" thickBot="1">
      <c r="A143" s="349"/>
      <c r="B143" s="356"/>
      <c r="C143" s="357"/>
      <c r="D143" s="349"/>
      <c r="E143" s="349"/>
      <c r="F143" s="356"/>
      <c r="G143" s="357"/>
    </row>
    <row r="144" spans="1:7" ht="15">
      <c r="A144" s="369"/>
      <c r="B144" s="493" t="s">
        <v>273</v>
      </c>
      <c r="C144" s="351"/>
      <c r="F144" s="493" t="s">
        <v>273</v>
      </c>
      <c r="G144" s="351"/>
    </row>
    <row r="145" spans="1:7" ht="15">
      <c r="A145" s="360" t="s">
        <v>186</v>
      </c>
      <c r="B145" s="350" t="s">
        <v>272</v>
      </c>
      <c r="C145" s="351" t="str">
        <f>IF(B145="TBD","TBD",C$140*B145)</f>
        <v>TBD</v>
      </c>
      <c r="F145" s="350" t="s">
        <v>272</v>
      </c>
      <c r="G145" s="351" t="str">
        <f>IF(F145&lt;&gt;0,"TBD",G$140*F145)</f>
        <v>TBD</v>
      </c>
    </row>
    <row r="146" spans="1:7" ht="15">
      <c r="A146" s="348" t="s">
        <v>187</v>
      </c>
      <c r="B146" s="350" t="s">
        <v>272</v>
      </c>
      <c r="C146" s="351" t="str">
        <f aca="true" t="shared" si="7" ref="C146:C203">IF(B146="TBD","TBD",C$140*B146)</f>
        <v>TBD</v>
      </c>
      <c r="F146" s="350" t="s">
        <v>272</v>
      </c>
      <c r="G146" s="351" t="str">
        <f aca="true" t="shared" si="8" ref="G146:G203">IF(F146&lt;&gt;0,"TBD",G$140*F146)</f>
        <v>TBD</v>
      </c>
    </row>
    <row r="147" spans="1:7" ht="15">
      <c r="A147" s="348" t="s">
        <v>188</v>
      </c>
      <c r="B147" s="350" t="s">
        <v>272</v>
      </c>
      <c r="C147" s="351" t="str">
        <f t="shared" si="7"/>
        <v>TBD</v>
      </c>
      <c r="F147" s="350" t="s">
        <v>272</v>
      </c>
      <c r="G147" s="351" t="str">
        <f t="shared" si="8"/>
        <v>TBD</v>
      </c>
    </row>
    <row r="148" spans="1:7" ht="15">
      <c r="A148" s="348" t="s">
        <v>189</v>
      </c>
      <c r="B148" s="350" t="s">
        <v>272</v>
      </c>
      <c r="C148" s="351" t="str">
        <f t="shared" si="7"/>
        <v>TBD</v>
      </c>
      <c r="F148" s="350" t="s">
        <v>272</v>
      </c>
      <c r="G148" s="351" t="str">
        <f t="shared" si="8"/>
        <v>TBD</v>
      </c>
    </row>
    <row r="149" spans="1:7" ht="15">
      <c r="A149" s="348" t="s">
        <v>190</v>
      </c>
      <c r="B149" s="350" t="s">
        <v>272</v>
      </c>
      <c r="C149" s="351" t="str">
        <f t="shared" si="7"/>
        <v>TBD</v>
      </c>
      <c r="F149" s="350" t="s">
        <v>272</v>
      </c>
      <c r="G149" s="351" t="str">
        <f t="shared" si="8"/>
        <v>TBD</v>
      </c>
    </row>
    <row r="150" spans="1:7" ht="15">
      <c r="A150" s="348" t="s">
        <v>191</v>
      </c>
      <c r="B150" s="350" t="s">
        <v>272</v>
      </c>
      <c r="C150" s="351" t="str">
        <f t="shared" si="7"/>
        <v>TBD</v>
      </c>
      <c r="F150" s="350" t="s">
        <v>272</v>
      </c>
      <c r="G150" s="351" t="str">
        <f t="shared" si="8"/>
        <v>TBD</v>
      </c>
    </row>
    <row r="151" spans="1:7" ht="15">
      <c r="A151" s="348" t="s">
        <v>192</v>
      </c>
      <c r="B151" s="350" t="s">
        <v>272</v>
      </c>
      <c r="C151" s="351" t="str">
        <f t="shared" si="7"/>
        <v>TBD</v>
      </c>
      <c r="F151" s="350" t="s">
        <v>272</v>
      </c>
      <c r="G151" s="351" t="str">
        <f t="shared" si="8"/>
        <v>TBD</v>
      </c>
    </row>
    <row r="152" spans="1:7" ht="15">
      <c r="A152" s="348" t="s">
        <v>193</v>
      </c>
      <c r="B152" s="350" t="s">
        <v>272</v>
      </c>
      <c r="C152" s="351" t="str">
        <f t="shared" si="7"/>
        <v>TBD</v>
      </c>
      <c r="F152" s="350" t="s">
        <v>272</v>
      </c>
      <c r="G152" s="351" t="str">
        <f t="shared" si="8"/>
        <v>TBD</v>
      </c>
    </row>
    <row r="153" spans="1:7" ht="15">
      <c r="A153" s="348" t="s">
        <v>194</v>
      </c>
      <c r="B153" s="350" t="s">
        <v>272</v>
      </c>
      <c r="C153" s="351" t="str">
        <f t="shared" si="7"/>
        <v>TBD</v>
      </c>
      <c r="F153" s="350" t="s">
        <v>272</v>
      </c>
      <c r="G153" s="351" t="str">
        <f t="shared" si="8"/>
        <v>TBD</v>
      </c>
    </row>
    <row r="154" spans="1:7" ht="15">
      <c r="A154" s="348" t="s">
        <v>195</v>
      </c>
      <c r="B154" s="350" t="s">
        <v>272</v>
      </c>
      <c r="C154" s="351" t="str">
        <f t="shared" si="7"/>
        <v>TBD</v>
      </c>
      <c r="F154" s="350" t="s">
        <v>272</v>
      </c>
      <c r="G154" s="351" t="str">
        <f t="shared" si="8"/>
        <v>TBD</v>
      </c>
    </row>
    <row r="155" spans="1:7" ht="15">
      <c r="A155" s="348" t="s">
        <v>196</v>
      </c>
      <c r="B155" s="350" t="s">
        <v>272</v>
      </c>
      <c r="C155" s="351" t="str">
        <f t="shared" si="7"/>
        <v>TBD</v>
      </c>
      <c r="F155" s="350" t="s">
        <v>272</v>
      </c>
      <c r="G155" s="351" t="str">
        <f t="shared" si="8"/>
        <v>TBD</v>
      </c>
    </row>
    <row r="156" spans="1:7" ht="15">
      <c r="A156" s="348" t="s">
        <v>197</v>
      </c>
      <c r="B156" s="350" t="s">
        <v>272</v>
      </c>
      <c r="C156" s="351" t="str">
        <f t="shared" si="7"/>
        <v>TBD</v>
      </c>
      <c r="F156" s="350" t="s">
        <v>272</v>
      </c>
      <c r="G156" s="351" t="str">
        <f t="shared" si="8"/>
        <v>TBD</v>
      </c>
    </row>
    <row r="157" spans="1:7" ht="15">
      <c r="A157" s="348" t="s">
        <v>198</v>
      </c>
      <c r="B157" s="350" t="s">
        <v>272</v>
      </c>
      <c r="C157" s="351" t="str">
        <f t="shared" si="7"/>
        <v>TBD</v>
      </c>
      <c r="F157" s="350" t="s">
        <v>272</v>
      </c>
      <c r="G157" s="351" t="str">
        <f t="shared" si="8"/>
        <v>TBD</v>
      </c>
    </row>
    <row r="158" spans="1:7" ht="15">
      <c r="A158" s="348" t="s">
        <v>199</v>
      </c>
      <c r="B158" s="350" t="s">
        <v>272</v>
      </c>
      <c r="C158" s="351" t="str">
        <f t="shared" si="7"/>
        <v>TBD</v>
      </c>
      <c r="F158" s="350" t="s">
        <v>272</v>
      </c>
      <c r="G158" s="351" t="str">
        <f t="shared" si="8"/>
        <v>TBD</v>
      </c>
    </row>
    <row r="159" spans="1:7" ht="15">
      <c r="A159" s="348" t="s">
        <v>200</v>
      </c>
      <c r="B159" s="350" t="s">
        <v>272</v>
      </c>
      <c r="C159" s="351" t="str">
        <f t="shared" si="7"/>
        <v>TBD</v>
      </c>
      <c r="F159" s="350" t="s">
        <v>272</v>
      </c>
      <c r="G159" s="351" t="str">
        <f t="shared" si="8"/>
        <v>TBD</v>
      </c>
    </row>
    <row r="160" spans="1:7" ht="15">
      <c r="A160" s="348" t="s">
        <v>201</v>
      </c>
      <c r="B160" s="350" t="s">
        <v>272</v>
      </c>
      <c r="C160" s="351" t="str">
        <f t="shared" si="7"/>
        <v>TBD</v>
      </c>
      <c r="F160" s="350" t="s">
        <v>272</v>
      </c>
      <c r="G160" s="351" t="str">
        <f t="shared" si="8"/>
        <v>TBD</v>
      </c>
    </row>
    <row r="161" spans="1:7" ht="15">
      <c r="A161" s="348" t="s">
        <v>202</v>
      </c>
      <c r="B161" s="350" t="s">
        <v>272</v>
      </c>
      <c r="C161" s="351" t="str">
        <f t="shared" si="7"/>
        <v>TBD</v>
      </c>
      <c r="F161" s="350" t="s">
        <v>272</v>
      </c>
      <c r="G161" s="351" t="str">
        <f t="shared" si="8"/>
        <v>TBD</v>
      </c>
    </row>
    <row r="162" spans="1:7" ht="15">
      <c r="A162" s="348" t="s">
        <v>203</v>
      </c>
      <c r="B162" s="350" t="s">
        <v>272</v>
      </c>
      <c r="C162" s="351" t="str">
        <f t="shared" si="7"/>
        <v>TBD</v>
      </c>
      <c r="F162" s="350" t="s">
        <v>272</v>
      </c>
      <c r="G162" s="351" t="str">
        <f t="shared" si="8"/>
        <v>TBD</v>
      </c>
    </row>
    <row r="163" spans="1:7" ht="15">
      <c r="A163" s="348" t="s">
        <v>204</v>
      </c>
      <c r="B163" s="350" t="s">
        <v>272</v>
      </c>
      <c r="C163" s="351" t="str">
        <f t="shared" si="7"/>
        <v>TBD</v>
      </c>
      <c r="F163" s="350" t="s">
        <v>272</v>
      </c>
      <c r="G163" s="351" t="str">
        <f t="shared" si="8"/>
        <v>TBD</v>
      </c>
    </row>
    <row r="164" spans="1:7" ht="15">
      <c r="A164" s="348" t="s">
        <v>205</v>
      </c>
      <c r="B164" s="350" t="s">
        <v>272</v>
      </c>
      <c r="C164" s="351" t="str">
        <f t="shared" si="7"/>
        <v>TBD</v>
      </c>
      <c r="F164" s="350" t="s">
        <v>272</v>
      </c>
      <c r="G164" s="351" t="str">
        <f t="shared" si="8"/>
        <v>TBD</v>
      </c>
    </row>
    <row r="165" spans="1:7" ht="15">
      <c r="A165" s="348" t="s">
        <v>206</v>
      </c>
      <c r="B165" s="350" t="s">
        <v>272</v>
      </c>
      <c r="C165" s="351" t="str">
        <f t="shared" si="7"/>
        <v>TBD</v>
      </c>
      <c r="F165" s="350" t="s">
        <v>272</v>
      </c>
      <c r="G165" s="351" t="str">
        <f t="shared" si="8"/>
        <v>TBD</v>
      </c>
    </row>
    <row r="166" spans="1:7" ht="15">
      <c r="A166" s="348" t="s">
        <v>207</v>
      </c>
      <c r="B166" s="350" t="s">
        <v>272</v>
      </c>
      <c r="C166" s="351" t="str">
        <f t="shared" si="7"/>
        <v>TBD</v>
      </c>
      <c r="F166" s="350" t="s">
        <v>272</v>
      </c>
      <c r="G166" s="351" t="str">
        <f t="shared" si="8"/>
        <v>TBD</v>
      </c>
    </row>
    <row r="167" spans="1:7" ht="15">
      <c r="A167" s="348" t="s">
        <v>208</v>
      </c>
      <c r="B167" s="350" t="s">
        <v>272</v>
      </c>
      <c r="C167" s="351" t="str">
        <f t="shared" si="7"/>
        <v>TBD</v>
      </c>
      <c r="F167" s="350" t="s">
        <v>272</v>
      </c>
      <c r="G167" s="351" t="str">
        <f t="shared" si="8"/>
        <v>TBD</v>
      </c>
    </row>
    <row r="168" spans="1:7" ht="15">
      <c r="A168" s="348" t="s">
        <v>209</v>
      </c>
      <c r="B168" s="350" t="s">
        <v>272</v>
      </c>
      <c r="C168" s="351" t="str">
        <f t="shared" si="7"/>
        <v>TBD</v>
      </c>
      <c r="F168" s="350" t="s">
        <v>272</v>
      </c>
      <c r="G168" s="351" t="str">
        <f t="shared" si="8"/>
        <v>TBD</v>
      </c>
    </row>
    <row r="169" spans="1:7" ht="15">
      <c r="A169" s="348" t="s">
        <v>210</v>
      </c>
      <c r="B169" s="350" t="s">
        <v>272</v>
      </c>
      <c r="C169" s="351" t="str">
        <f t="shared" si="7"/>
        <v>TBD</v>
      </c>
      <c r="F169" s="350" t="s">
        <v>272</v>
      </c>
      <c r="G169" s="351" t="str">
        <f t="shared" si="8"/>
        <v>TBD</v>
      </c>
    </row>
    <row r="170" spans="1:7" ht="15">
      <c r="A170" s="348" t="s">
        <v>211</v>
      </c>
      <c r="B170" s="350" t="s">
        <v>272</v>
      </c>
      <c r="C170" s="351" t="str">
        <f t="shared" si="7"/>
        <v>TBD</v>
      </c>
      <c r="F170" s="350" t="s">
        <v>272</v>
      </c>
      <c r="G170" s="351" t="str">
        <f t="shared" si="8"/>
        <v>TBD</v>
      </c>
    </row>
    <row r="171" spans="1:7" ht="15">
      <c r="A171" s="348" t="s">
        <v>212</v>
      </c>
      <c r="B171" s="350" t="s">
        <v>272</v>
      </c>
      <c r="C171" s="351" t="str">
        <f t="shared" si="7"/>
        <v>TBD</v>
      </c>
      <c r="F171" s="350" t="s">
        <v>272</v>
      </c>
      <c r="G171" s="351" t="str">
        <f t="shared" si="8"/>
        <v>TBD</v>
      </c>
    </row>
    <row r="172" spans="1:7" ht="15">
      <c r="A172" s="348" t="s">
        <v>213</v>
      </c>
      <c r="B172" s="350" t="s">
        <v>272</v>
      </c>
      <c r="C172" s="351" t="str">
        <f t="shared" si="7"/>
        <v>TBD</v>
      </c>
      <c r="F172" s="350" t="s">
        <v>272</v>
      </c>
      <c r="G172" s="351" t="str">
        <f t="shared" si="8"/>
        <v>TBD</v>
      </c>
    </row>
    <row r="173" spans="1:7" ht="15">
      <c r="A173" s="348" t="s">
        <v>214</v>
      </c>
      <c r="B173" s="350" t="s">
        <v>272</v>
      </c>
      <c r="C173" s="351" t="str">
        <f t="shared" si="7"/>
        <v>TBD</v>
      </c>
      <c r="F173" s="350" t="s">
        <v>272</v>
      </c>
      <c r="G173" s="351" t="str">
        <f t="shared" si="8"/>
        <v>TBD</v>
      </c>
    </row>
    <row r="174" spans="1:7" ht="15">
      <c r="A174" s="348" t="s">
        <v>215</v>
      </c>
      <c r="B174" s="350" t="s">
        <v>272</v>
      </c>
      <c r="C174" s="351" t="str">
        <f t="shared" si="7"/>
        <v>TBD</v>
      </c>
      <c r="F174" s="350" t="s">
        <v>272</v>
      </c>
      <c r="G174" s="351" t="str">
        <f t="shared" si="8"/>
        <v>TBD</v>
      </c>
    </row>
    <row r="175" spans="1:7" ht="15">
      <c r="A175" s="348" t="s">
        <v>216</v>
      </c>
      <c r="B175" s="350" t="s">
        <v>272</v>
      </c>
      <c r="C175" s="351" t="str">
        <f t="shared" si="7"/>
        <v>TBD</v>
      </c>
      <c r="F175" s="350" t="s">
        <v>272</v>
      </c>
      <c r="G175" s="351" t="str">
        <f t="shared" si="8"/>
        <v>TBD</v>
      </c>
    </row>
    <row r="176" spans="1:7" ht="15">
      <c r="A176" s="348" t="s">
        <v>217</v>
      </c>
      <c r="B176" s="350" t="s">
        <v>272</v>
      </c>
      <c r="C176" s="351" t="str">
        <f t="shared" si="7"/>
        <v>TBD</v>
      </c>
      <c r="F176" s="350" t="s">
        <v>272</v>
      </c>
      <c r="G176" s="351" t="str">
        <f t="shared" si="8"/>
        <v>TBD</v>
      </c>
    </row>
    <row r="177" spans="1:7" ht="15">
      <c r="A177" s="348" t="s">
        <v>218</v>
      </c>
      <c r="B177" s="350" t="s">
        <v>272</v>
      </c>
      <c r="C177" s="351" t="str">
        <f t="shared" si="7"/>
        <v>TBD</v>
      </c>
      <c r="F177" s="350" t="s">
        <v>272</v>
      </c>
      <c r="G177" s="351" t="str">
        <f t="shared" si="8"/>
        <v>TBD</v>
      </c>
    </row>
    <row r="178" spans="1:7" ht="15">
      <c r="A178" s="348" t="s">
        <v>219</v>
      </c>
      <c r="B178" s="350" t="s">
        <v>272</v>
      </c>
      <c r="C178" s="351" t="str">
        <f t="shared" si="7"/>
        <v>TBD</v>
      </c>
      <c r="F178" s="350" t="s">
        <v>272</v>
      </c>
      <c r="G178" s="351" t="str">
        <f t="shared" si="8"/>
        <v>TBD</v>
      </c>
    </row>
    <row r="179" spans="1:7" ht="15">
      <c r="A179" s="348" t="s">
        <v>220</v>
      </c>
      <c r="B179" s="350" t="s">
        <v>272</v>
      </c>
      <c r="C179" s="351" t="str">
        <f t="shared" si="7"/>
        <v>TBD</v>
      </c>
      <c r="F179" s="350" t="s">
        <v>272</v>
      </c>
      <c r="G179" s="351" t="str">
        <f t="shared" si="8"/>
        <v>TBD</v>
      </c>
    </row>
    <row r="180" spans="1:7" ht="15">
      <c r="A180" s="348" t="s">
        <v>221</v>
      </c>
      <c r="B180" s="350" t="s">
        <v>272</v>
      </c>
      <c r="C180" s="351" t="str">
        <f t="shared" si="7"/>
        <v>TBD</v>
      </c>
      <c r="F180" s="350" t="s">
        <v>272</v>
      </c>
      <c r="G180" s="351" t="str">
        <f t="shared" si="8"/>
        <v>TBD</v>
      </c>
    </row>
    <row r="181" spans="1:7" ht="15">
      <c r="A181" s="348" t="s">
        <v>222</v>
      </c>
      <c r="B181" s="350" t="s">
        <v>272</v>
      </c>
      <c r="C181" s="351" t="str">
        <f t="shared" si="7"/>
        <v>TBD</v>
      </c>
      <c r="F181" s="350" t="s">
        <v>272</v>
      </c>
      <c r="G181" s="351" t="str">
        <f t="shared" si="8"/>
        <v>TBD</v>
      </c>
    </row>
    <row r="182" spans="1:7" ht="15">
      <c r="A182" s="348" t="s">
        <v>223</v>
      </c>
      <c r="B182" s="350" t="s">
        <v>272</v>
      </c>
      <c r="C182" s="351" t="str">
        <f t="shared" si="7"/>
        <v>TBD</v>
      </c>
      <c r="F182" s="350" t="s">
        <v>272</v>
      </c>
      <c r="G182" s="351" t="str">
        <f t="shared" si="8"/>
        <v>TBD</v>
      </c>
    </row>
    <row r="183" spans="1:7" ht="15">
      <c r="A183" s="348" t="s">
        <v>224</v>
      </c>
      <c r="B183" s="350" t="s">
        <v>272</v>
      </c>
      <c r="C183" s="351" t="str">
        <f t="shared" si="7"/>
        <v>TBD</v>
      </c>
      <c r="F183" s="350" t="s">
        <v>272</v>
      </c>
      <c r="G183" s="351" t="str">
        <f t="shared" si="8"/>
        <v>TBD</v>
      </c>
    </row>
    <row r="184" spans="1:7" ht="15">
      <c r="A184" s="348" t="s">
        <v>225</v>
      </c>
      <c r="B184" s="350" t="s">
        <v>272</v>
      </c>
      <c r="C184" s="351" t="str">
        <f t="shared" si="7"/>
        <v>TBD</v>
      </c>
      <c r="F184" s="350" t="s">
        <v>272</v>
      </c>
      <c r="G184" s="351" t="str">
        <f t="shared" si="8"/>
        <v>TBD</v>
      </c>
    </row>
    <row r="185" spans="1:7" ht="15">
      <c r="A185" s="360" t="s">
        <v>185</v>
      </c>
      <c r="B185" s="361" t="s">
        <v>272</v>
      </c>
      <c r="C185" s="351" t="str">
        <f t="shared" si="7"/>
        <v>TBD</v>
      </c>
      <c r="D185" s="362"/>
      <c r="E185" s="362"/>
      <c r="F185" s="361" t="s">
        <v>272</v>
      </c>
      <c r="G185" s="351" t="str">
        <f t="shared" si="8"/>
        <v>TBD</v>
      </c>
    </row>
    <row r="186" spans="1:7" ht="15">
      <c r="A186" s="360" t="s">
        <v>226</v>
      </c>
      <c r="B186" s="361" t="s">
        <v>272</v>
      </c>
      <c r="C186" s="351" t="str">
        <f t="shared" si="7"/>
        <v>TBD</v>
      </c>
      <c r="D186" s="362"/>
      <c r="E186" s="362"/>
      <c r="F186" s="361" t="s">
        <v>272</v>
      </c>
      <c r="G186" s="351" t="str">
        <f t="shared" si="8"/>
        <v>TBD</v>
      </c>
    </row>
    <row r="187" spans="1:7" ht="15">
      <c r="A187" s="360" t="s">
        <v>227</v>
      </c>
      <c r="B187" s="361" t="s">
        <v>272</v>
      </c>
      <c r="C187" s="351" t="str">
        <f t="shared" si="7"/>
        <v>TBD</v>
      </c>
      <c r="D187" s="362"/>
      <c r="E187" s="362"/>
      <c r="F187" s="361" t="s">
        <v>272</v>
      </c>
      <c r="G187" s="351" t="str">
        <f t="shared" si="8"/>
        <v>TBD</v>
      </c>
    </row>
    <row r="188" spans="1:7" ht="15">
      <c r="A188" s="360" t="s">
        <v>228</v>
      </c>
      <c r="B188" s="361" t="s">
        <v>272</v>
      </c>
      <c r="C188" s="351" t="str">
        <f t="shared" si="7"/>
        <v>TBD</v>
      </c>
      <c r="D188" s="362"/>
      <c r="E188" s="362"/>
      <c r="F188" s="361" t="s">
        <v>272</v>
      </c>
      <c r="G188" s="351" t="str">
        <f t="shared" si="8"/>
        <v>TBD</v>
      </c>
    </row>
    <row r="189" spans="1:7" ht="15">
      <c r="A189" s="348" t="s">
        <v>229</v>
      </c>
      <c r="B189" s="350" t="s">
        <v>272</v>
      </c>
      <c r="C189" s="351" t="str">
        <f t="shared" si="7"/>
        <v>TBD</v>
      </c>
      <c r="F189" s="350" t="s">
        <v>272</v>
      </c>
      <c r="G189" s="351" t="str">
        <f t="shared" si="8"/>
        <v>TBD</v>
      </c>
    </row>
    <row r="190" spans="1:7" ht="15">
      <c r="A190" s="348" t="s">
        <v>230</v>
      </c>
      <c r="B190" s="350" t="s">
        <v>272</v>
      </c>
      <c r="C190" s="351" t="str">
        <f t="shared" si="7"/>
        <v>TBD</v>
      </c>
      <c r="F190" s="350" t="s">
        <v>272</v>
      </c>
      <c r="G190" s="351" t="str">
        <f t="shared" si="8"/>
        <v>TBD</v>
      </c>
    </row>
    <row r="191" spans="1:7" ht="15">
      <c r="A191" s="348" t="s">
        <v>231</v>
      </c>
      <c r="B191" s="350" t="s">
        <v>272</v>
      </c>
      <c r="C191" s="351" t="str">
        <f t="shared" si="7"/>
        <v>TBD</v>
      </c>
      <c r="F191" s="350" t="s">
        <v>272</v>
      </c>
      <c r="G191" s="351" t="str">
        <f t="shared" si="8"/>
        <v>TBD</v>
      </c>
    </row>
    <row r="192" spans="1:7" ht="15">
      <c r="A192" s="348" t="s">
        <v>232</v>
      </c>
      <c r="B192" s="350" t="s">
        <v>272</v>
      </c>
      <c r="C192" s="351" t="str">
        <f t="shared" si="7"/>
        <v>TBD</v>
      </c>
      <c r="F192" s="350" t="s">
        <v>272</v>
      </c>
      <c r="G192" s="351" t="str">
        <f t="shared" si="8"/>
        <v>TBD</v>
      </c>
    </row>
    <row r="193" spans="1:7" ht="15">
      <c r="A193" s="348" t="s">
        <v>233</v>
      </c>
      <c r="B193" s="350" t="s">
        <v>272</v>
      </c>
      <c r="C193" s="351" t="str">
        <f t="shared" si="7"/>
        <v>TBD</v>
      </c>
      <c r="F193" s="350" t="s">
        <v>272</v>
      </c>
      <c r="G193" s="351" t="str">
        <f t="shared" si="8"/>
        <v>TBD</v>
      </c>
    </row>
    <row r="194" spans="1:7" ht="15">
      <c r="A194" s="348" t="s">
        <v>234</v>
      </c>
      <c r="B194" s="350" t="s">
        <v>272</v>
      </c>
      <c r="C194" s="351" t="str">
        <f t="shared" si="7"/>
        <v>TBD</v>
      </c>
      <c r="F194" s="350" t="s">
        <v>272</v>
      </c>
      <c r="G194" s="351" t="str">
        <f t="shared" si="8"/>
        <v>TBD</v>
      </c>
    </row>
    <row r="195" spans="1:7" ht="15">
      <c r="A195" s="348" t="s">
        <v>235</v>
      </c>
      <c r="B195" s="350" t="s">
        <v>272</v>
      </c>
      <c r="C195" s="351" t="str">
        <f t="shared" si="7"/>
        <v>TBD</v>
      </c>
      <c r="F195" s="350" t="s">
        <v>272</v>
      </c>
      <c r="G195" s="351" t="str">
        <f t="shared" si="8"/>
        <v>TBD</v>
      </c>
    </row>
    <row r="196" spans="1:7" ht="15">
      <c r="A196" s="348" t="s">
        <v>236</v>
      </c>
      <c r="B196" s="350" t="s">
        <v>272</v>
      </c>
      <c r="C196" s="351" t="str">
        <f t="shared" si="7"/>
        <v>TBD</v>
      </c>
      <c r="F196" s="350" t="s">
        <v>272</v>
      </c>
      <c r="G196" s="351" t="str">
        <f t="shared" si="8"/>
        <v>TBD</v>
      </c>
    </row>
    <row r="197" spans="1:7" ht="15">
      <c r="A197" s="348" t="s">
        <v>237</v>
      </c>
      <c r="B197" s="350" t="s">
        <v>272</v>
      </c>
      <c r="C197" s="351" t="str">
        <f t="shared" si="7"/>
        <v>TBD</v>
      </c>
      <c r="F197" s="350" t="s">
        <v>272</v>
      </c>
      <c r="G197" s="351" t="str">
        <f t="shared" si="8"/>
        <v>TBD</v>
      </c>
    </row>
    <row r="198" spans="1:7" ht="15">
      <c r="A198" s="348" t="s">
        <v>238</v>
      </c>
      <c r="B198" s="350" t="s">
        <v>272</v>
      </c>
      <c r="C198" s="351" t="str">
        <f t="shared" si="7"/>
        <v>TBD</v>
      </c>
      <c r="F198" s="350" t="s">
        <v>272</v>
      </c>
      <c r="G198" s="351" t="str">
        <f t="shared" si="8"/>
        <v>TBD</v>
      </c>
    </row>
    <row r="199" spans="1:7" ht="15">
      <c r="A199" s="348" t="s">
        <v>239</v>
      </c>
      <c r="B199" s="350" t="s">
        <v>272</v>
      </c>
      <c r="C199" s="351" t="str">
        <f t="shared" si="7"/>
        <v>TBD</v>
      </c>
      <c r="F199" s="350" t="s">
        <v>272</v>
      </c>
      <c r="G199" s="351" t="str">
        <f t="shared" si="8"/>
        <v>TBD</v>
      </c>
    </row>
    <row r="200" spans="1:7" ht="15">
      <c r="A200" s="348" t="s">
        <v>240</v>
      </c>
      <c r="B200" s="350" t="s">
        <v>272</v>
      </c>
      <c r="C200" s="351" t="str">
        <f t="shared" si="7"/>
        <v>TBD</v>
      </c>
      <c r="F200" s="350" t="s">
        <v>272</v>
      </c>
      <c r="G200" s="351" t="str">
        <f t="shared" si="8"/>
        <v>TBD</v>
      </c>
    </row>
    <row r="201" spans="1:7" ht="15">
      <c r="A201" s="348" t="s">
        <v>241</v>
      </c>
      <c r="B201" s="350" t="s">
        <v>272</v>
      </c>
      <c r="C201" s="351" t="str">
        <f t="shared" si="7"/>
        <v>TBD</v>
      </c>
      <c r="F201" s="350" t="s">
        <v>272</v>
      </c>
      <c r="G201" s="351" t="str">
        <f t="shared" si="8"/>
        <v>TBD</v>
      </c>
    </row>
    <row r="202" spans="1:7" ht="15">
      <c r="A202" s="348" t="s">
        <v>242</v>
      </c>
      <c r="B202" s="350" t="s">
        <v>272</v>
      </c>
      <c r="C202" s="351" t="str">
        <f t="shared" si="7"/>
        <v>TBD</v>
      </c>
      <c r="F202" s="350" t="s">
        <v>272</v>
      </c>
      <c r="G202" s="351" t="str">
        <f t="shared" si="8"/>
        <v>TBD</v>
      </c>
    </row>
    <row r="203" spans="1:7" ht="15">
      <c r="A203" s="348" t="s">
        <v>138</v>
      </c>
      <c r="B203" s="350" t="s">
        <v>272</v>
      </c>
      <c r="C203" s="351" t="str">
        <f t="shared" si="7"/>
        <v>TBD</v>
      </c>
      <c r="F203" s="350" t="s">
        <v>272</v>
      </c>
      <c r="G203" s="351" t="str">
        <f t="shared" si="8"/>
        <v>TBD</v>
      </c>
    </row>
    <row r="204" spans="1:7" ht="15">
      <c r="A204" s="348" t="s">
        <v>139</v>
      </c>
      <c r="B204" s="377">
        <f>SUM(B145:B203)</f>
        <v>0</v>
      </c>
      <c r="C204" s="359">
        <f>SUM(C145:C203)</f>
        <v>0</v>
      </c>
      <c r="F204" s="377">
        <f>SUM(F145:F203)</f>
        <v>0</v>
      </c>
      <c r="G204" s="359">
        <f>SUM(G145:G203)</f>
        <v>0</v>
      </c>
    </row>
    <row r="214" spans="1:7" ht="15">
      <c r="A214" s="606" t="s">
        <v>144</v>
      </c>
      <c r="B214" s="606"/>
      <c r="C214" s="606"/>
      <c r="D214" s="606"/>
      <c r="E214" s="606"/>
      <c r="F214" s="606"/>
      <c r="G214" s="606"/>
    </row>
    <row r="215" spans="1:7" ht="15" customHeight="1">
      <c r="A215" s="605" t="s">
        <v>249</v>
      </c>
      <c r="B215" s="605"/>
      <c r="C215" s="605"/>
      <c r="D215" s="605"/>
      <c r="E215" s="605"/>
      <c r="F215" s="605"/>
      <c r="G215" s="605"/>
    </row>
    <row r="216" spans="1:7" ht="15">
      <c r="A216" s="349"/>
      <c r="B216" s="349"/>
      <c r="C216" s="349"/>
      <c r="D216" s="349"/>
      <c r="E216" s="349"/>
      <c r="F216" s="349"/>
      <c r="G216" s="349"/>
    </row>
    <row r="217" spans="2:7" ht="15">
      <c r="B217" s="363" t="s">
        <v>155</v>
      </c>
      <c r="C217" s="367">
        <f>B23</f>
        <v>6407972.957372025</v>
      </c>
      <c r="D217" s="349"/>
      <c r="E217" s="349"/>
      <c r="F217" s="314" t="s">
        <v>105</v>
      </c>
      <c r="G217" s="364">
        <f>B24</f>
        <v>12815945.91474405</v>
      </c>
    </row>
    <row r="218" spans="1:6" ht="15.75" thickBot="1">
      <c r="A218" s="349"/>
      <c r="B218" s="349"/>
      <c r="C218" s="349"/>
      <c r="D218" s="349"/>
      <c r="E218" s="349"/>
      <c r="F218" s="365"/>
    </row>
    <row r="219" spans="1:7" ht="15.75" customHeight="1" thickBot="1">
      <c r="A219" s="349"/>
      <c r="B219" s="610" t="s">
        <v>154</v>
      </c>
      <c r="C219" s="611"/>
      <c r="D219" s="349"/>
      <c r="E219" s="349"/>
      <c r="F219" s="610" t="s">
        <v>105</v>
      </c>
      <c r="G219" s="611"/>
    </row>
    <row r="220" spans="1:7" ht="6" customHeight="1" thickBot="1">
      <c r="A220" s="349"/>
      <c r="B220" s="356"/>
      <c r="C220" s="357"/>
      <c r="D220" s="349"/>
      <c r="E220" s="349"/>
      <c r="F220" s="356"/>
      <c r="G220" s="357"/>
    </row>
    <row r="221" spans="1:7" ht="15">
      <c r="A221" s="369"/>
      <c r="B221" s="493" t="s">
        <v>273</v>
      </c>
      <c r="C221" s="351"/>
      <c r="F221" s="493" t="s">
        <v>273</v>
      </c>
      <c r="G221" s="351"/>
    </row>
    <row r="222" spans="1:7" ht="15">
      <c r="A222" s="360" t="s">
        <v>186</v>
      </c>
      <c r="B222" s="350" t="s">
        <v>272</v>
      </c>
      <c r="C222" s="351" t="str">
        <f>IF(B222="TBD","TBD",C$217*B222)</f>
        <v>TBD</v>
      </c>
      <c r="F222" s="407" t="str">
        <f>IF(G222="TBD","TBD",G222/G$217)</f>
        <v>TBD</v>
      </c>
      <c r="G222" s="351" t="str">
        <f>IF(G299="TBD","TBD",C299+G299)</f>
        <v>TBD</v>
      </c>
    </row>
    <row r="223" spans="1:7" ht="15">
      <c r="A223" s="348" t="s">
        <v>187</v>
      </c>
      <c r="B223" s="350" t="s">
        <v>272</v>
      </c>
      <c r="C223" s="351" t="str">
        <f aca="true" t="shared" si="9" ref="C223:C280">IF(B223="TBD","TBD",C$217*B223)</f>
        <v>TBD</v>
      </c>
      <c r="F223" s="407" t="str">
        <f aca="true" t="shared" si="10" ref="F223:F280">IF(G223="TBD","TBD",G223/G$217)</f>
        <v>TBD</v>
      </c>
      <c r="G223" s="351" t="str">
        <f aca="true" t="shared" si="11" ref="G223:G280">IF(G300="TBD","TBD",C300+G300)</f>
        <v>TBD</v>
      </c>
    </row>
    <row r="224" spans="1:7" ht="15">
      <c r="A224" s="348" t="s">
        <v>188</v>
      </c>
      <c r="B224" s="350" t="s">
        <v>272</v>
      </c>
      <c r="C224" s="351" t="str">
        <f t="shared" si="9"/>
        <v>TBD</v>
      </c>
      <c r="F224" s="407" t="str">
        <f t="shared" si="10"/>
        <v>TBD</v>
      </c>
      <c r="G224" s="351" t="str">
        <f t="shared" si="11"/>
        <v>TBD</v>
      </c>
    </row>
    <row r="225" spans="1:7" ht="15">
      <c r="A225" s="348" t="s">
        <v>189</v>
      </c>
      <c r="B225" s="350" t="s">
        <v>272</v>
      </c>
      <c r="C225" s="351" t="str">
        <f t="shared" si="9"/>
        <v>TBD</v>
      </c>
      <c r="F225" s="407" t="str">
        <f t="shared" si="10"/>
        <v>TBD</v>
      </c>
      <c r="G225" s="351" t="str">
        <f t="shared" si="11"/>
        <v>TBD</v>
      </c>
    </row>
    <row r="226" spans="1:7" ht="15">
      <c r="A226" s="348" t="s">
        <v>190</v>
      </c>
      <c r="B226" s="350" t="s">
        <v>272</v>
      </c>
      <c r="C226" s="351" t="str">
        <f t="shared" si="9"/>
        <v>TBD</v>
      </c>
      <c r="F226" s="407" t="str">
        <f t="shared" si="10"/>
        <v>TBD</v>
      </c>
      <c r="G226" s="351" t="str">
        <f t="shared" si="11"/>
        <v>TBD</v>
      </c>
    </row>
    <row r="227" spans="1:7" ht="15">
      <c r="A227" s="348" t="s">
        <v>191</v>
      </c>
      <c r="B227" s="350" t="s">
        <v>272</v>
      </c>
      <c r="C227" s="351" t="str">
        <f t="shared" si="9"/>
        <v>TBD</v>
      </c>
      <c r="F227" s="407" t="str">
        <f t="shared" si="10"/>
        <v>TBD</v>
      </c>
      <c r="G227" s="351" t="str">
        <f t="shared" si="11"/>
        <v>TBD</v>
      </c>
    </row>
    <row r="228" spans="1:7" ht="15">
      <c r="A228" s="348" t="s">
        <v>192</v>
      </c>
      <c r="B228" s="350" t="s">
        <v>272</v>
      </c>
      <c r="C228" s="351" t="str">
        <f t="shared" si="9"/>
        <v>TBD</v>
      </c>
      <c r="F228" s="407" t="str">
        <f t="shared" si="10"/>
        <v>TBD</v>
      </c>
      <c r="G228" s="351" t="str">
        <f t="shared" si="11"/>
        <v>TBD</v>
      </c>
    </row>
    <row r="229" spans="1:7" ht="15">
      <c r="A229" s="348" t="s">
        <v>193</v>
      </c>
      <c r="B229" s="350" t="s">
        <v>272</v>
      </c>
      <c r="C229" s="351" t="str">
        <f t="shared" si="9"/>
        <v>TBD</v>
      </c>
      <c r="F229" s="407" t="str">
        <f t="shared" si="10"/>
        <v>TBD</v>
      </c>
      <c r="G229" s="351" t="str">
        <f t="shared" si="11"/>
        <v>TBD</v>
      </c>
    </row>
    <row r="230" spans="1:7" ht="15">
      <c r="A230" s="348" t="s">
        <v>194</v>
      </c>
      <c r="B230" s="350" t="s">
        <v>272</v>
      </c>
      <c r="C230" s="351" t="str">
        <f t="shared" si="9"/>
        <v>TBD</v>
      </c>
      <c r="F230" s="407" t="str">
        <f t="shared" si="10"/>
        <v>TBD</v>
      </c>
      <c r="G230" s="351" t="str">
        <f t="shared" si="11"/>
        <v>TBD</v>
      </c>
    </row>
    <row r="231" spans="1:7" ht="15">
      <c r="A231" s="348" t="s">
        <v>195</v>
      </c>
      <c r="B231" s="350" t="s">
        <v>272</v>
      </c>
      <c r="C231" s="351" t="str">
        <f t="shared" si="9"/>
        <v>TBD</v>
      </c>
      <c r="F231" s="407" t="str">
        <f t="shared" si="10"/>
        <v>TBD</v>
      </c>
      <c r="G231" s="351" t="str">
        <f t="shared" si="11"/>
        <v>TBD</v>
      </c>
    </row>
    <row r="232" spans="1:7" ht="15">
      <c r="A232" s="348" t="s">
        <v>196</v>
      </c>
      <c r="B232" s="350" t="s">
        <v>272</v>
      </c>
      <c r="C232" s="351" t="str">
        <f t="shared" si="9"/>
        <v>TBD</v>
      </c>
      <c r="F232" s="407" t="str">
        <f t="shared" si="10"/>
        <v>TBD</v>
      </c>
      <c r="G232" s="351" t="str">
        <f t="shared" si="11"/>
        <v>TBD</v>
      </c>
    </row>
    <row r="233" spans="1:7" ht="15">
      <c r="A233" s="348" t="s">
        <v>197</v>
      </c>
      <c r="B233" s="350" t="s">
        <v>272</v>
      </c>
      <c r="C233" s="351" t="str">
        <f t="shared" si="9"/>
        <v>TBD</v>
      </c>
      <c r="F233" s="407" t="str">
        <f t="shared" si="10"/>
        <v>TBD</v>
      </c>
      <c r="G233" s="351" t="str">
        <f t="shared" si="11"/>
        <v>TBD</v>
      </c>
    </row>
    <row r="234" spans="1:7" ht="15">
      <c r="A234" s="348" t="s">
        <v>198</v>
      </c>
      <c r="B234" s="350" t="s">
        <v>272</v>
      </c>
      <c r="C234" s="351" t="str">
        <f t="shared" si="9"/>
        <v>TBD</v>
      </c>
      <c r="F234" s="407" t="str">
        <f t="shared" si="10"/>
        <v>TBD</v>
      </c>
      <c r="G234" s="351" t="str">
        <f t="shared" si="11"/>
        <v>TBD</v>
      </c>
    </row>
    <row r="235" spans="1:7" ht="15">
      <c r="A235" s="348" t="s">
        <v>199</v>
      </c>
      <c r="B235" s="350" t="s">
        <v>272</v>
      </c>
      <c r="C235" s="351" t="str">
        <f t="shared" si="9"/>
        <v>TBD</v>
      </c>
      <c r="F235" s="407" t="str">
        <f t="shared" si="10"/>
        <v>TBD</v>
      </c>
      <c r="G235" s="351" t="str">
        <f t="shared" si="11"/>
        <v>TBD</v>
      </c>
    </row>
    <row r="236" spans="1:7" ht="15">
      <c r="A236" s="348" t="s">
        <v>200</v>
      </c>
      <c r="B236" s="350" t="s">
        <v>272</v>
      </c>
      <c r="C236" s="351" t="str">
        <f t="shared" si="9"/>
        <v>TBD</v>
      </c>
      <c r="F236" s="407" t="str">
        <f t="shared" si="10"/>
        <v>TBD</v>
      </c>
      <c r="G236" s="351" t="str">
        <f t="shared" si="11"/>
        <v>TBD</v>
      </c>
    </row>
    <row r="237" spans="1:7" ht="15">
      <c r="A237" s="348" t="s">
        <v>201</v>
      </c>
      <c r="B237" s="350" t="s">
        <v>272</v>
      </c>
      <c r="C237" s="351" t="str">
        <f t="shared" si="9"/>
        <v>TBD</v>
      </c>
      <c r="F237" s="407" t="str">
        <f t="shared" si="10"/>
        <v>TBD</v>
      </c>
      <c r="G237" s="351" t="str">
        <f t="shared" si="11"/>
        <v>TBD</v>
      </c>
    </row>
    <row r="238" spans="1:7" ht="15">
      <c r="A238" s="348" t="s">
        <v>202</v>
      </c>
      <c r="B238" s="350" t="s">
        <v>272</v>
      </c>
      <c r="C238" s="351" t="str">
        <f t="shared" si="9"/>
        <v>TBD</v>
      </c>
      <c r="F238" s="407" t="str">
        <f t="shared" si="10"/>
        <v>TBD</v>
      </c>
      <c r="G238" s="351" t="str">
        <f t="shared" si="11"/>
        <v>TBD</v>
      </c>
    </row>
    <row r="239" spans="1:7" ht="15">
      <c r="A239" s="348" t="s">
        <v>203</v>
      </c>
      <c r="B239" s="350" t="s">
        <v>272</v>
      </c>
      <c r="C239" s="351" t="str">
        <f t="shared" si="9"/>
        <v>TBD</v>
      </c>
      <c r="F239" s="407" t="str">
        <f t="shared" si="10"/>
        <v>TBD</v>
      </c>
      <c r="G239" s="351" t="str">
        <f t="shared" si="11"/>
        <v>TBD</v>
      </c>
    </row>
    <row r="240" spans="1:7" ht="15">
      <c r="A240" s="348" t="s">
        <v>204</v>
      </c>
      <c r="B240" s="350" t="s">
        <v>272</v>
      </c>
      <c r="C240" s="351" t="str">
        <f t="shared" si="9"/>
        <v>TBD</v>
      </c>
      <c r="F240" s="407" t="str">
        <f t="shared" si="10"/>
        <v>TBD</v>
      </c>
      <c r="G240" s="351" t="str">
        <f t="shared" si="11"/>
        <v>TBD</v>
      </c>
    </row>
    <row r="241" spans="1:7" ht="15">
      <c r="A241" s="348" t="s">
        <v>205</v>
      </c>
      <c r="B241" s="350" t="s">
        <v>272</v>
      </c>
      <c r="C241" s="351" t="str">
        <f t="shared" si="9"/>
        <v>TBD</v>
      </c>
      <c r="F241" s="407" t="str">
        <f t="shared" si="10"/>
        <v>TBD</v>
      </c>
      <c r="G241" s="351" t="str">
        <f t="shared" si="11"/>
        <v>TBD</v>
      </c>
    </row>
    <row r="242" spans="1:7" ht="15">
      <c r="A242" s="348" t="s">
        <v>206</v>
      </c>
      <c r="B242" s="350" t="s">
        <v>272</v>
      </c>
      <c r="C242" s="351" t="str">
        <f t="shared" si="9"/>
        <v>TBD</v>
      </c>
      <c r="F242" s="407" t="str">
        <f t="shared" si="10"/>
        <v>TBD</v>
      </c>
      <c r="G242" s="351" t="str">
        <f t="shared" si="11"/>
        <v>TBD</v>
      </c>
    </row>
    <row r="243" spans="1:7" ht="15">
      <c r="A243" s="348" t="s">
        <v>207</v>
      </c>
      <c r="B243" s="350" t="s">
        <v>272</v>
      </c>
      <c r="C243" s="351" t="str">
        <f t="shared" si="9"/>
        <v>TBD</v>
      </c>
      <c r="F243" s="407" t="str">
        <f t="shared" si="10"/>
        <v>TBD</v>
      </c>
      <c r="G243" s="351" t="str">
        <f t="shared" si="11"/>
        <v>TBD</v>
      </c>
    </row>
    <row r="244" spans="1:7" ht="15">
      <c r="A244" s="348" t="s">
        <v>208</v>
      </c>
      <c r="B244" s="350" t="s">
        <v>272</v>
      </c>
      <c r="C244" s="351" t="str">
        <f t="shared" si="9"/>
        <v>TBD</v>
      </c>
      <c r="F244" s="407" t="str">
        <f t="shared" si="10"/>
        <v>TBD</v>
      </c>
      <c r="G244" s="351" t="str">
        <f t="shared" si="11"/>
        <v>TBD</v>
      </c>
    </row>
    <row r="245" spans="1:7" ht="15">
      <c r="A245" s="348" t="s">
        <v>209</v>
      </c>
      <c r="B245" s="350" t="s">
        <v>272</v>
      </c>
      <c r="C245" s="351" t="str">
        <f t="shared" si="9"/>
        <v>TBD</v>
      </c>
      <c r="F245" s="407" t="str">
        <f t="shared" si="10"/>
        <v>TBD</v>
      </c>
      <c r="G245" s="351" t="str">
        <f t="shared" si="11"/>
        <v>TBD</v>
      </c>
    </row>
    <row r="246" spans="1:7" ht="15">
      <c r="A246" s="348" t="s">
        <v>210</v>
      </c>
      <c r="B246" s="350" t="s">
        <v>272</v>
      </c>
      <c r="C246" s="351" t="str">
        <f t="shared" si="9"/>
        <v>TBD</v>
      </c>
      <c r="F246" s="407" t="str">
        <f t="shared" si="10"/>
        <v>TBD</v>
      </c>
      <c r="G246" s="351" t="str">
        <f t="shared" si="11"/>
        <v>TBD</v>
      </c>
    </row>
    <row r="247" spans="1:7" ht="15">
      <c r="A247" s="348" t="s">
        <v>211</v>
      </c>
      <c r="B247" s="350" t="s">
        <v>272</v>
      </c>
      <c r="C247" s="351" t="str">
        <f t="shared" si="9"/>
        <v>TBD</v>
      </c>
      <c r="F247" s="407" t="str">
        <f t="shared" si="10"/>
        <v>TBD</v>
      </c>
      <c r="G247" s="351" t="str">
        <f t="shared" si="11"/>
        <v>TBD</v>
      </c>
    </row>
    <row r="248" spans="1:7" ht="15">
      <c r="A248" s="348" t="s">
        <v>212</v>
      </c>
      <c r="B248" s="350" t="s">
        <v>272</v>
      </c>
      <c r="C248" s="351" t="str">
        <f t="shared" si="9"/>
        <v>TBD</v>
      </c>
      <c r="F248" s="407" t="str">
        <f t="shared" si="10"/>
        <v>TBD</v>
      </c>
      <c r="G248" s="351" t="str">
        <f t="shared" si="11"/>
        <v>TBD</v>
      </c>
    </row>
    <row r="249" spans="1:7" ht="15">
      <c r="A249" s="348" t="s">
        <v>213</v>
      </c>
      <c r="B249" s="350" t="s">
        <v>272</v>
      </c>
      <c r="C249" s="351" t="str">
        <f t="shared" si="9"/>
        <v>TBD</v>
      </c>
      <c r="F249" s="407" t="str">
        <f t="shared" si="10"/>
        <v>TBD</v>
      </c>
      <c r="G249" s="351" t="str">
        <f t="shared" si="11"/>
        <v>TBD</v>
      </c>
    </row>
    <row r="250" spans="1:7" ht="15">
      <c r="A250" s="348" t="s">
        <v>214</v>
      </c>
      <c r="B250" s="350" t="s">
        <v>272</v>
      </c>
      <c r="C250" s="351" t="str">
        <f t="shared" si="9"/>
        <v>TBD</v>
      </c>
      <c r="F250" s="407" t="str">
        <f t="shared" si="10"/>
        <v>TBD</v>
      </c>
      <c r="G250" s="351" t="str">
        <f t="shared" si="11"/>
        <v>TBD</v>
      </c>
    </row>
    <row r="251" spans="1:7" ht="15">
      <c r="A251" s="348" t="s">
        <v>215</v>
      </c>
      <c r="B251" s="350" t="s">
        <v>272</v>
      </c>
      <c r="C251" s="351" t="str">
        <f t="shared" si="9"/>
        <v>TBD</v>
      </c>
      <c r="F251" s="407" t="str">
        <f t="shared" si="10"/>
        <v>TBD</v>
      </c>
      <c r="G251" s="351" t="str">
        <f t="shared" si="11"/>
        <v>TBD</v>
      </c>
    </row>
    <row r="252" spans="1:7" ht="15">
      <c r="A252" s="348" t="s">
        <v>216</v>
      </c>
      <c r="B252" s="350" t="s">
        <v>272</v>
      </c>
      <c r="C252" s="351" t="str">
        <f t="shared" si="9"/>
        <v>TBD</v>
      </c>
      <c r="F252" s="407" t="str">
        <f t="shared" si="10"/>
        <v>TBD</v>
      </c>
      <c r="G252" s="351" t="str">
        <f t="shared" si="11"/>
        <v>TBD</v>
      </c>
    </row>
    <row r="253" spans="1:7" ht="15">
      <c r="A253" s="348" t="s">
        <v>217</v>
      </c>
      <c r="B253" s="350" t="s">
        <v>272</v>
      </c>
      <c r="C253" s="351" t="str">
        <f t="shared" si="9"/>
        <v>TBD</v>
      </c>
      <c r="F253" s="407" t="str">
        <f t="shared" si="10"/>
        <v>TBD</v>
      </c>
      <c r="G253" s="351" t="str">
        <f t="shared" si="11"/>
        <v>TBD</v>
      </c>
    </row>
    <row r="254" spans="1:7" ht="15">
      <c r="A254" s="348" t="s">
        <v>218</v>
      </c>
      <c r="B254" s="350" t="s">
        <v>272</v>
      </c>
      <c r="C254" s="351" t="str">
        <f t="shared" si="9"/>
        <v>TBD</v>
      </c>
      <c r="F254" s="407" t="str">
        <f t="shared" si="10"/>
        <v>TBD</v>
      </c>
      <c r="G254" s="351" t="str">
        <f t="shared" si="11"/>
        <v>TBD</v>
      </c>
    </row>
    <row r="255" spans="1:7" ht="15">
      <c r="A255" s="348" t="s">
        <v>219</v>
      </c>
      <c r="B255" s="350" t="s">
        <v>272</v>
      </c>
      <c r="C255" s="351" t="str">
        <f t="shared" si="9"/>
        <v>TBD</v>
      </c>
      <c r="F255" s="407" t="str">
        <f t="shared" si="10"/>
        <v>TBD</v>
      </c>
      <c r="G255" s="351" t="str">
        <f t="shared" si="11"/>
        <v>TBD</v>
      </c>
    </row>
    <row r="256" spans="1:7" ht="15">
      <c r="A256" s="348" t="s">
        <v>220</v>
      </c>
      <c r="B256" s="350" t="s">
        <v>272</v>
      </c>
      <c r="C256" s="351" t="str">
        <f t="shared" si="9"/>
        <v>TBD</v>
      </c>
      <c r="F256" s="407" t="str">
        <f t="shared" si="10"/>
        <v>TBD</v>
      </c>
      <c r="G256" s="351" t="str">
        <f t="shared" si="11"/>
        <v>TBD</v>
      </c>
    </row>
    <row r="257" spans="1:7" ht="15">
      <c r="A257" s="348" t="s">
        <v>221</v>
      </c>
      <c r="B257" s="350" t="s">
        <v>272</v>
      </c>
      <c r="C257" s="351" t="str">
        <f t="shared" si="9"/>
        <v>TBD</v>
      </c>
      <c r="F257" s="407" t="str">
        <f t="shared" si="10"/>
        <v>TBD</v>
      </c>
      <c r="G257" s="351" t="str">
        <f t="shared" si="11"/>
        <v>TBD</v>
      </c>
    </row>
    <row r="258" spans="1:7" ht="15">
      <c r="A258" s="348" t="s">
        <v>222</v>
      </c>
      <c r="B258" s="350" t="s">
        <v>272</v>
      </c>
      <c r="C258" s="351" t="str">
        <f t="shared" si="9"/>
        <v>TBD</v>
      </c>
      <c r="F258" s="407" t="str">
        <f t="shared" si="10"/>
        <v>TBD</v>
      </c>
      <c r="G258" s="351" t="str">
        <f t="shared" si="11"/>
        <v>TBD</v>
      </c>
    </row>
    <row r="259" spans="1:7" ht="15">
      <c r="A259" s="348" t="s">
        <v>223</v>
      </c>
      <c r="B259" s="350" t="s">
        <v>272</v>
      </c>
      <c r="C259" s="351" t="str">
        <f t="shared" si="9"/>
        <v>TBD</v>
      </c>
      <c r="F259" s="407" t="str">
        <f t="shared" si="10"/>
        <v>TBD</v>
      </c>
      <c r="G259" s="351" t="str">
        <f t="shared" si="11"/>
        <v>TBD</v>
      </c>
    </row>
    <row r="260" spans="1:7" ht="15">
      <c r="A260" s="348" t="s">
        <v>224</v>
      </c>
      <c r="B260" s="350" t="s">
        <v>272</v>
      </c>
      <c r="C260" s="351" t="str">
        <f t="shared" si="9"/>
        <v>TBD</v>
      </c>
      <c r="F260" s="407" t="str">
        <f t="shared" si="10"/>
        <v>TBD</v>
      </c>
      <c r="G260" s="351" t="str">
        <f t="shared" si="11"/>
        <v>TBD</v>
      </c>
    </row>
    <row r="261" spans="1:7" ht="15">
      <c r="A261" s="348" t="s">
        <v>225</v>
      </c>
      <c r="B261" s="350" t="s">
        <v>272</v>
      </c>
      <c r="C261" s="351" t="str">
        <f t="shared" si="9"/>
        <v>TBD</v>
      </c>
      <c r="F261" s="407" t="str">
        <f t="shared" si="10"/>
        <v>TBD</v>
      </c>
      <c r="G261" s="351" t="str">
        <f t="shared" si="11"/>
        <v>TBD</v>
      </c>
    </row>
    <row r="262" spans="1:7" ht="15">
      <c r="A262" s="360" t="s">
        <v>185</v>
      </c>
      <c r="B262" s="350" t="s">
        <v>272</v>
      </c>
      <c r="C262" s="351" t="str">
        <f t="shared" si="9"/>
        <v>TBD</v>
      </c>
      <c r="D262" s="362"/>
      <c r="E262" s="362"/>
      <c r="F262" s="407" t="str">
        <f t="shared" si="10"/>
        <v>TBD</v>
      </c>
      <c r="G262" s="351" t="str">
        <f t="shared" si="11"/>
        <v>TBD</v>
      </c>
    </row>
    <row r="263" spans="1:7" ht="15">
      <c r="A263" s="360" t="s">
        <v>226</v>
      </c>
      <c r="B263" s="350" t="s">
        <v>272</v>
      </c>
      <c r="C263" s="351" t="str">
        <f t="shared" si="9"/>
        <v>TBD</v>
      </c>
      <c r="D263" s="362"/>
      <c r="E263" s="362"/>
      <c r="F263" s="407" t="str">
        <f t="shared" si="10"/>
        <v>TBD</v>
      </c>
      <c r="G263" s="351" t="str">
        <f t="shared" si="11"/>
        <v>TBD</v>
      </c>
    </row>
    <row r="264" spans="1:7" ht="15">
      <c r="A264" s="360" t="s">
        <v>227</v>
      </c>
      <c r="B264" s="350" t="s">
        <v>272</v>
      </c>
      <c r="C264" s="351" t="str">
        <f t="shared" si="9"/>
        <v>TBD</v>
      </c>
      <c r="D264" s="362"/>
      <c r="E264" s="362"/>
      <c r="F264" s="407" t="str">
        <f t="shared" si="10"/>
        <v>TBD</v>
      </c>
      <c r="G264" s="351" t="str">
        <f t="shared" si="11"/>
        <v>TBD</v>
      </c>
    </row>
    <row r="265" spans="1:7" ht="15">
      <c r="A265" s="360" t="s">
        <v>228</v>
      </c>
      <c r="B265" s="350" t="s">
        <v>272</v>
      </c>
      <c r="C265" s="351" t="str">
        <f t="shared" si="9"/>
        <v>TBD</v>
      </c>
      <c r="D265" s="362"/>
      <c r="E265" s="362"/>
      <c r="F265" s="407" t="str">
        <f t="shared" si="10"/>
        <v>TBD</v>
      </c>
      <c r="G265" s="351" t="str">
        <f t="shared" si="11"/>
        <v>TBD</v>
      </c>
    </row>
    <row r="266" spans="1:7" ht="15">
      <c r="A266" s="348" t="s">
        <v>229</v>
      </c>
      <c r="B266" s="350" t="s">
        <v>272</v>
      </c>
      <c r="C266" s="351" t="str">
        <f t="shared" si="9"/>
        <v>TBD</v>
      </c>
      <c r="F266" s="407" t="str">
        <f t="shared" si="10"/>
        <v>TBD</v>
      </c>
      <c r="G266" s="351" t="str">
        <f t="shared" si="11"/>
        <v>TBD</v>
      </c>
    </row>
    <row r="267" spans="1:7" ht="15">
      <c r="A267" s="348" t="s">
        <v>230</v>
      </c>
      <c r="B267" s="350" t="s">
        <v>272</v>
      </c>
      <c r="C267" s="351" t="str">
        <f t="shared" si="9"/>
        <v>TBD</v>
      </c>
      <c r="F267" s="407" t="str">
        <f t="shared" si="10"/>
        <v>TBD</v>
      </c>
      <c r="G267" s="351" t="str">
        <f t="shared" si="11"/>
        <v>TBD</v>
      </c>
    </row>
    <row r="268" spans="1:7" ht="15">
      <c r="A268" s="348" t="s">
        <v>231</v>
      </c>
      <c r="B268" s="350" t="s">
        <v>272</v>
      </c>
      <c r="C268" s="351" t="str">
        <f t="shared" si="9"/>
        <v>TBD</v>
      </c>
      <c r="F268" s="407" t="str">
        <f t="shared" si="10"/>
        <v>TBD</v>
      </c>
      <c r="G268" s="351" t="str">
        <f t="shared" si="11"/>
        <v>TBD</v>
      </c>
    </row>
    <row r="269" spans="1:7" ht="15">
      <c r="A269" s="348" t="s">
        <v>232</v>
      </c>
      <c r="B269" s="350" t="s">
        <v>272</v>
      </c>
      <c r="C269" s="351" t="str">
        <f t="shared" si="9"/>
        <v>TBD</v>
      </c>
      <c r="F269" s="407" t="str">
        <f t="shared" si="10"/>
        <v>TBD</v>
      </c>
      <c r="G269" s="351" t="str">
        <f t="shared" si="11"/>
        <v>TBD</v>
      </c>
    </row>
    <row r="270" spans="1:7" ht="15">
      <c r="A270" s="348" t="s">
        <v>233</v>
      </c>
      <c r="B270" s="350" t="s">
        <v>272</v>
      </c>
      <c r="C270" s="351" t="str">
        <f t="shared" si="9"/>
        <v>TBD</v>
      </c>
      <c r="F270" s="407" t="str">
        <f t="shared" si="10"/>
        <v>TBD</v>
      </c>
      <c r="G270" s="351" t="str">
        <f t="shared" si="11"/>
        <v>TBD</v>
      </c>
    </row>
    <row r="271" spans="1:7" ht="15">
      <c r="A271" s="348" t="s">
        <v>234</v>
      </c>
      <c r="B271" s="350" t="s">
        <v>272</v>
      </c>
      <c r="C271" s="351" t="str">
        <f t="shared" si="9"/>
        <v>TBD</v>
      </c>
      <c r="F271" s="407" t="str">
        <f t="shared" si="10"/>
        <v>TBD</v>
      </c>
      <c r="G271" s="351" t="str">
        <f t="shared" si="11"/>
        <v>TBD</v>
      </c>
    </row>
    <row r="272" spans="1:7" ht="15">
      <c r="A272" s="348" t="s">
        <v>235</v>
      </c>
      <c r="B272" s="350" t="s">
        <v>272</v>
      </c>
      <c r="C272" s="351" t="str">
        <f t="shared" si="9"/>
        <v>TBD</v>
      </c>
      <c r="F272" s="407" t="str">
        <f t="shared" si="10"/>
        <v>TBD</v>
      </c>
      <c r="G272" s="351" t="str">
        <f t="shared" si="11"/>
        <v>TBD</v>
      </c>
    </row>
    <row r="273" spans="1:7" ht="15">
      <c r="A273" s="348" t="s">
        <v>236</v>
      </c>
      <c r="B273" s="350" t="s">
        <v>272</v>
      </c>
      <c r="C273" s="351" t="str">
        <f t="shared" si="9"/>
        <v>TBD</v>
      </c>
      <c r="F273" s="407" t="str">
        <f t="shared" si="10"/>
        <v>TBD</v>
      </c>
      <c r="G273" s="351" t="str">
        <f t="shared" si="11"/>
        <v>TBD</v>
      </c>
    </row>
    <row r="274" spans="1:7" ht="15">
      <c r="A274" s="348" t="s">
        <v>237</v>
      </c>
      <c r="B274" s="350" t="s">
        <v>272</v>
      </c>
      <c r="C274" s="351" t="str">
        <f t="shared" si="9"/>
        <v>TBD</v>
      </c>
      <c r="F274" s="407" t="str">
        <f t="shared" si="10"/>
        <v>TBD</v>
      </c>
      <c r="G274" s="351" t="str">
        <f t="shared" si="11"/>
        <v>TBD</v>
      </c>
    </row>
    <row r="275" spans="1:7" ht="15">
      <c r="A275" s="348" t="s">
        <v>238</v>
      </c>
      <c r="B275" s="350" t="s">
        <v>272</v>
      </c>
      <c r="C275" s="351" t="str">
        <f t="shared" si="9"/>
        <v>TBD</v>
      </c>
      <c r="F275" s="407" t="str">
        <f t="shared" si="10"/>
        <v>TBD</v>
      </c>
      <c r="G275" s="351" t="str">
        <f t="shared" si="11"/>
        <v>TBD</v>
      </c>
    </row>
    <row r="276" spans="1:7" ht="15">
      <c r="A276" s="348" t="s">
        <v>239</v>
      </c>
      <c r="B276" s="350" t="s">
        <v>272</v>
      </c>
      <c r="C276" s="351" t="str">
        <f t="shared" si="9"/>
        <v>TBD</v>
      </c>
      <c r="F276" s="407" t="str">
        <f t="shared" si="10"/>
        <v>TBD</v>
      </c>
      <c r="G276" s="351" t="str">
        <f t="shared" si="11"/>
        <v>TBD</v>
      </c>
    </row>
    <row r="277" spans="1:7" ht="15">
      <c r="A277" s="348" t="s">
        <v>240</v>
      </c>
      <c r="B277" s="350" t="s">
        <v>272</v>
      </c>
      <c r="C277" s="351" t="str">
        <f t="shared" si="9"/>
        <v>TBD</v>
      </c>
      <c r="F277" s="407" t="str">
        <f t="shared" si="10"/>
        <v>TBD</v>
      </c>
      <c r="G277" s="351" t="str">
        <f t="shared" si="11"/>
        <v>TBD</v>
      </c>
    </row>
    <row r="278" spans="1:7" ht="15">
      <c r="A278" s="348" t="s">
        <v>241</v>
      </c>
      <c r="B278" s="350" t="s">
        <v>272</v>
      </c>
      <c r="C278" s="351" t="str">
        <f t="shared" si="9"/>
        <v>TBD</v>
      </c>
      <c r="F278" s="407" t="str">
        <f t="shared" si="10"/>
        <v>TBD</v>
      </c>
      <c r="G278" s="351" t="str">
        <f t="shared" si="11"/>
        <v>TBD</v>
      </c>
    </row>
    <row r="279" spans="1:7" ht="15">
      <c r="A279" s="348" t="s">
        <v>242</v>
      </c>
      <c r="B279" s="350" t="s">
        <v>272</v>
      </c>
      <c r="C279" s="351" t="str">
        <f t="shared" si="9"/>
        <v>TBD</v>
      </c>
      <c r="F279" s="407" t="str">
        <f t="shared" si="10"/>
        <v>TBD</v>
      </c>
      <c r="G279" s="351" t="str">
        <f t="shared" si="11"/>
        <v>TBD</v>
      </c>
    </row>
    <row r="280" spans="1:7" ht="15">
      <c r="A280" s="348" t="s">
        <v>138</v>
      </c>
      <c r="B280" s="350" t="s">
        <v>272</v>
      </c>
      <c r="C280" s="351" t="str">
        <f t="shared" si="9"/>
        <v>TBD</v>
      </c>
      <c r="F280" s="407" t="str">
        <f t="shared" si="10"/>
        <v>TBD</v>
      </c>
      <c r="G280" s="351" t="str">
        <f t="shared" si="11"/>
        <v>TBD</v>
      </c>
    </row>
    <row r="281" spans="1:7" ht="15">
      <c r="A281" s="348" t="s">
        <v>139</v>
      </c>
      <c r="B281" s="377">
        <f>SUM(B222:B280)</f>
        <v>0</v>
      </c>
      <c r="C281" s="359">
        <f>SUM(C222:C280)</f>
        <v>0</v>
      </c>
      <c r="F281" s="377">
        <f>SUM(F222:F280)</f>
        <v>0</v>
      </c>
      <c r="G281" s="359">
        <f>SUM(G222:G280)</f>
        <v>0</v>
      </c>
    </row>
    <row r="291" spans="1:7" ht="15">
      <c r="A291" s="606" t="s">
        <v>161</v>
      </c>
      <c r="B291" s="606"/>
      <c r="C291" s="606"/>
      <c r="D291" s="606"/>
      <c r="E291" s="606"/>
      <c r="F291" s="606"/>
      <c r="G291" s="606"/>
    </row>
    <row r="292" spans="1:7" ht="15" customHeight="1">
      <c r="A292" s="605" t="s">
        <v>249</v>
      </c>
      <c r="B292" s="605"/>
      <c r="C292" s="605"/>
      <c r="D292" s="605"/>
      <c r="E292" s="605"/>
      <c r="F292" s="605"/>
      <c r="G292" s="605"/>
    </row>
    <row r="293" spans="1:7" ht="15">
      <c r="A293" s="349"/>
      <c r="B293" s="349"/>
      <c r="C293" s="349"/>
      <c r="D293" s="349"/>
      <c r="E293" s="349"/>
      <c r="F293" s="349"/>
      <c r="G293" s="349"/>
    </row>
    <row r="294" spans="2:7" ht="15">
      <c r="B294" s="363" t="s">
        <v>162</v>
      </c>
      <c r="C294" s="367">
        <f>B25</f>
        <v>12108633.859709326</v>
      </c>
      <c r="D294" s="349"/>
      <c r="E294" s="349"/>
      <c r="F294" s="314" t="s">
        <v>163</v>
      </c>
      <c r="G294" s="364">
        <f>B26</f>
        <v>707312.0550347241</v>
      </c>
    </row>
    <row r="295" spans="1:6" ht="15.75" thickBot="1">
      <c r="A295" s="349"/>
      <c r="B295" s="349"/>
      <c r="C295" s="349"/>
      <c r="D295" s="349"/>
      <c r="E295" s="349"/>
      <c r="F295" s="365"/>
    </row>
    <row r="296" spans="1:7" ht="15.75" thickBot="1">
      <c r="A296" s="349"/>
      <c r="B296" s="607" t="s">
        <v>164</v>
      </c>
      <c r="C296" s="608"/>
      <c r="D296" s="349"/>
      <c r="E296" s="349"/>
      <c r="F296" s="610" t="s">
        <v>165</v>
      </c>
      <c r="G296" s="611"/>
    </row>
    <row r="297" spans="1:7" ht="6" customHeight="1" thickBot="1">
      <c r="A297" s="349"/>
      <c r="B297" s="356"/>
      <c r="C297" s="357"/>
      <c r="D297" s="349"/>
      <c r="E297" s="349"/>
      <c r="F297" s="356"/>
      <c r="G297" s="357"/>
    </row>
    <row r="298" spans="1:7" ht="15">
      <c r="A298" s="369"/>
      <c r="B298" s="493" t="s">
        <v>273</v>
      </c>
      <c r="C298" s="351"/>
      <c r="F298" s="493" t="s">
        <v>273</v>
      </c>
      <c r="G298" s="351"/>
    </row>
    <row r="299" spans="1:7" ht="15">
      <c r="A299" s="360" t="s">
        <v>186</v>
      </c>
      <c r="B299" s="350" t="s">
        <v>272</v>
      </c>
      <c r="C299" s="351" t="str">
        <f>IF(B299="TBD","TBD",C$294*B299)</f>
        <v>TBD</v>
      </c>
      <c r="F299" s="350" t="s">
        <v>272</v>
      </c>
      <c r="G299" s="351" t="str">
        <f>IF(F299="TBD","TBD",G$294*F299)</f>
        <v>TBD</v>
      </c>
    </row>
    <row r="300" spans="1:7" ht="15">
      <c r="A300" s="348" t="s">
        <v>187</v>
      </c>
      <c r="B300" s="350" t="s">
        <v>272</v>
      </c>
      <c r="C300" s="351" t="str">
        <f>IF(B300="TBD","TBD",C$294*B300)</f>
        <v>TBD</v>
      </c>
      <c r="F300" s="350" t="s">
        <v>272</v>
      </c>
      <c r="G300" s="351" t="str">
        <f aca="true" t="shared" si="12" ref="G300:G357">IF(F300="TBD","TBD",G$294*F300)</f>
        <v>TBD</v>
      </c>
    </row>
    <row r="301" spans="1:7" ht="15">
      <c r="A301" s="348" t="s">
        <v>188</v>
      </c>
      <c r="B301" s="350" t="s">
        <v>272</v>
      </c>
      <c r="C301" s="351" t="str">
        <f aca="true" t="shared" si="13" ref="C301:C357">IF(B301="TBD","TBD",C$294*B301)</f>
        <v>TBD</v>
      </c>
      <c r="F301" s="350" t="s">
        <v>272</v>
      </c>
      <c r="G301" s="351" t="str">
        <f t="shared" si="12"/>
        <v>TBD</v>
      </c>
    </row>
    <row r="302" spans="1:7" ht="15">
      <c r="A302" s="348" t="s">
        <v>189</v>
      </c>
      <c r="B302" s="350" t="s">
        <v>272</v>
      </c>
      <c r="C302" s="351" t="str">
        <f t="shared" si="13"/>
        <v>TBD</v>
      </c>
      <c r="F302" s="350" t="s">
        <v>272</v>
      </c>
      <c r="G302" s="351" t="str">
        <f t="shared" si="12"/>
        <v>TBD</v>
      </c>
    </row>
    <row r="303" spans="1:7" ht="15">
      <c r="A303" s="348" t="s">
        <v>190</v>
      </c>
      <c r="B303" s="350" t="s">
        <v>272</v>
      </c>
      <c r="C303" s="351" t="str">
        <f t="shared" si="13"/>
        <v>TBD</v>
      </c>
      <c r="F303" s="350" t="s">
        <v>272</v>
      </c>
      <c r="G303" s="351" t="str">
        <f t="shared" si="12"/>
        <v>TBD</v>
      </c>
    </row>
    <row r="304" spans="1:7" ht="15">
      <c r="A304" s="348" t="s">
        <v>191</v>
      </c>
      <c r="B304" s="350" t="s">
        <v>272</v>
      </c>
      <c r="C304" s="351" t="str">
        <f t="shared" si="13"/>
        <v>TBD</v>
      </c>
      <c r="F304" s="350" t="s">
        <v>272</v>
      </c>
      <c r="G304" s="351" t="str">
        <f t="shared" si="12"/>
        <v>TBD</v>
      </c>
    </row>
    <row r="305" spans="1:7" ht="15">
      <c r="A305" s="348" t="s">
        <v>192</v>
      </c>
      <c r="B305" s="350" t="s">
        <v>272</v>
      </c>
      <c r="C305" s="351" t="str">
        <f t="shared" si="13"/>
        <v>TBD</v>
      </c>
      <c r="F305" s="350" t="s">
        <v>272</v>
      </c>
      <c r="G305" s="351" t="str">
        <f t="shared" si="12"/>
        <v>TBD</v>
      </c>
    </row>
    <row r="306" spans="1:7" ht="15">
      <c r="A306" s="348" t="s">
        <v>193</v>
      </c>
      <c r="B306" s="350" t="s">
        <v>272</v>
      </c>
      <c r="C306" s="351" t="str">
        <f t="shared" si="13"/>
        <v>TBD</v>
      </c>
      <c r="F306" s="350" t="s">
        <v>272</v>
      </c>
      <c r="G306" s="351" t="str">
        <f t="shared" si="12"/>
        <v>TBD</v>
      </c>
    </row>
    <row r="307" spans="1:7" ht="15">
      <c r="A307" s="348" t="s">
        <v>194</v>
      </c>
      <c r="B307" s="350" t="s">
        <v>272</v>
      </c>
      <c r="C307" s="351" t="str">
        <f t="shared" si="13"/>
        <v>TBD</v>
      </c>
      <c r="F307" s="350" t="s">
        <v>272</v>
      </c>
      <c r="G307" s="351" t="str">
        <f t="shared" si="12"/>
        <v>TBD</v>
      </c>
    </row>
    <row r="308" spans="1:7" ht="15">
      <c r="A308" s="348" t="s">
        <v>195</v>
      </c>
      <c r="B308" s="350" t="s">
        <v>272</v>
      </c>
      <c r="C308" s="351" t="str">
        <f t="shared" si="13"/>
        <v>TBD</v>
      </c>
      <c r="F308" s="350" t="s">
        <v>272</v>
      </c>
      <c r="G308" s="351" t="str">
        <f t="shared" si="12"/>
        <v>TBD</v>
      </c>
    </row>
    <row r="309" spans="1:7" ht="15">
      <c r="A309" s="348" t="s">
        <v>196</v>
      </c>
      <c r="B309" s="350" t="s">
        <v>272</v>
      </c>
      <c r="C309" s="351" t="str">
        <f t="shared" si="13"/>
        <v>TBD</v>
      </c>
      <c r="F309" s="350" t="s">
        <v>272</v>
      </c>
      <c r="G309" s="351" t="str">
        <f t="shared" si="12"/>
        <v>TBD</v>
      </c>
    </row>
    <row r="310" spans="1:7" ht="15">
      <c r="A310" s="348" t="s">
        <v>197</v>
      </c>
      <c r="B310" s="350" t="s">
        <v>272</v>
      </c>
      <c r="C310" s="351" t="str">
        <f t="shared" si="13"/>
        <v>TBD</v>
      </c>
      <c r="F310" s="350" t="s">
        <v>272</v>
      </c>
      <c r="G310" s="351" t="str">
        <f t="shared" si="12"/>
        <v>TBD</v>
      </c>
    </row>
    <row r="311" spans="1:7" ht="15">
      <c r="A311" s="348" t="s">
        <v>198</v>
      </c>
      <c r="B311" s="350" t="s">
        <v>272</v>
      </c>
      <c r="C311" s="351" t="str">
        <f t="shared" si="13"/>
        <v>TBD</v>
      </c>
      <c r="F311" s="350" t="s">
        <v>272</v>
      </c>
      <c r="G311" s="351" t="str">
        <f t="shared" si="12"/>
        <v>TBD</v>
      </c>
    </row>
    <row r="312" spans="1:7" ht="15">
      <c r="A312" s="348" t="s">
        <v>199</v>
      </c>
      <c r="B312" s="350" t="s">
        <v>272</v>
      </c>
      <c r="C312" s="351" t="str">
        <f t="shared" si="13"/>
        <v>TBD</v>
      </c>
      <c r="F312" s="350" t="s">
        <v>272</v>
      </c>
      <c r="G312" s="351" t="str">
        <f t="shared" si="12"/>
        <v>TBD</v>
      </c>
    </row>
    <row r="313" spans="1:7" ht="15">
      <c r="A313" s="348" t="s">
        <v>200</v>
      </c>
      <c r="B313" s="350" t="s">
        <v>272</v>
      </c>
      <c r="C313" s="351" t="str">
        <f t="shared" si="13"/>
        <v>TBD</v>
      </c>
      <c r="F313" s="350" t="s">
        <v>272</v>
      </c>
      <c r="G313" s="351" t="str">
        <f t="shared" si="12"/>
        <v>TBD</v>
      </c>
    </row>
    <row r="314" spans="1:7" ht="15">
      <c r="A314" s="348" t="s">
        <v>201</v>
      </c>
      <c r="B314" s="350" t="s">
        <v>272</v>
      </c>
      <c r="C314" s="351" t="str">
        <f t="shared" si="13"/>
        <v>TBD</v>
      </c>
      <c r="F314" s="350" t="s">
        <v>272</v>
      </c>
      <c r="G314" s="351" t="str">
        <f t="shared" si="12"/>
        <v>TBD</v>
      </c>
    </row>
    <row r="315" spans="1:7" ht="15">
      <c r="A315" s="348" t="s">
        <v>202</v>
      </c>
      <c r="B315" s="350" t="s">
        <v>272</v>
      </c>
      <c r="C315" s="351" t="str">
        <f t="shared" si="13"/>
        <v>TBD</v>
      </c>
      <c r="F315" s="350" t="s">
        <v>272</v>
      </c>
      <c r="G315" s="351" t="str">
        <f t="shared" si="12"/>
        <v>TBD</v>
      </c>
    </row>
    <row r="316" spans="1:7" ht="15">
      <c r="A316" s="348" t="s">
        <v>203</v>
      </c>
      <c r="B316" s="350" t="s">
        <v>272</v>
      </c>
      <c r="C316" s="351" t="str">
        <f t="shared" si="13"/>
        <v>TBD</v>
      </c>
      <c r="F316" s="350" t="s">
        <v>272</v>
      </c>
      <c r="G316" s="351" t="str">
        <f t="shared" si="12"/>
        <v>TBD</v>
      </c>
    </row>
    <row r="317" spans="1:7" ht="15">
      <c r="A317" s="348" t="s">
        <v>204</v>
      </c>
      <c r="B317" s="350" t="s">
        <v>272</v>
      </c>
      <c r="C317" s="351" t="str">
        <f t="shared" si="13"/>
        <v>TBD</v>
      </c>
      <c r="F317" s="350" t="s">
        <v>272</v>
      </c>
      <c r="G317" s="351" t="str">
        <f t="shared" si="12"/>
        <v>TBD</v>
      </c>
    </row>
    <row r="318" spans="1:7" ht="15">
      <c r="A318" s="348" t="s">
        <v>205</v>
      </c>
      <c r="B318" s="350" t="s">
        <v>272</v>
      </c>
      <c r="C318" s="351" t="str">
        <f t="shared" si="13"/>
        <v>TBD</v>
      </c>
      <c r="F318" s="350" t="s">
        <v>272</v>
      </c>
      <c r="G318" s="351" t="str">
        <f t="shared" si="12"/>
        <v>TBD</v>
      </c>
    </row>
    <row r="319" spans="1:7" ht="15">
      <c r="A319" s="348" t="s">
        <v>206</v>
      </c>
      <c r="B319" s="350" t="s">
        <v>272</v>
      </c>
      <c r="C319" s="351" t="str">
        <f t="shared" si="13"/>
        <v>TBD</v>
      </c>
      <c r="F319" s="350" t="s">
        <v>272</v>
      </c>
      <c r="G319" s="351" t="str">
        <f t="shared" si="12"/>
        <v>TBD</v>
      </c>
    </row>
    <row r="320" spans="1:7" ht="15">
      <c r="A320" s="348" t="s">
        <v>207</v>
      </c>
      <c r="B320" s="350" t="s">
        <v>272</v>
      </c>
      <c r="C320" s="351" t="str">
        <f t="shared" si="13"/>
        <v>TBD</v>
      </c>
      <c r="F320" s="350" t="s">
        <v>272</v>
      </c>
      <c r="G320" s="351" t="str">
        <f t="shared" si="12"/>
        <v>TBD</v>
      </c>
    </row>
    <row r="321" spans="1:7" ht="15">
      <c r="A321" s="348" t="s">
        <v>208</v>
      </c>
      <c r="B321" s="350" t="s">
        <v>272</v>
      </c>
      <c r="C321" s="351" t="str">
        <f t="shared" si="13"/>
        <v>TBD</v>
      </c>
      <c r="F321" s="350" t="s">
        <v>272</v>
      </c>
      <c r="G321" s="351" t="str">
        <f t="shared" si="12"/>
        <v>TBD</v>
      </c>
    </row>
    <row r="322" spans="1:7" ht="15">
      <c r="A322" s="348" t="s">
        <v>209</v>
      </c>
      <c r="B322" s="350" t="s">
        <v>272</v>
      </c>
      <c r="C322" s="351" t="str">
        <f t="shared" si="13"/>
        <v>TBD</v>
      </c>
      <c r="F322" s="350" t="s">
        <v>272</v>
      </c>
      <c r="G322" s="351" t="str">
        <f t="shared" si="12"/>
        <v>TBD</v>
      </c>
    </row>
    <row r="323" spans="1:7" ht="15">
      <c r="A323" s="348" t="s">
        <v>210</v>
      </c>
      <c r="B323" s="350" t="s">
        <v>272</v>
      </c>
      <c r="C323" s="351" t="str">
        <f t="shared" si="13"/>
        <v>TBD</v>
      </c>
      <c r="F323" s="350" t="s">
        <v>272</v>
      </c>
      <c r="G323" s="351" t="str">
        <f t="shared" si="12"/>
        <v>TBD</v>
      </c>
    </row>
    <row r="324" spans="1:7" ht="15">
      <c r="A324" s="348" t="s">
        <v>211</v>
      </c>
      <c r="B324" s="350" t="s">
        <v>272</v>
      </c>
      <c r="C324" s="351" t="str">
        <f t="shared" si="13"/>
        <v>TBD</v>
      </c>
      <c r="F324" s="350" t="s">
        <v>272</v>
      </c>
      <c r="G324" s="351" t="str">
        <f t="shared" si="12"/>
        <v>TBD</v>
      </c>
    </row>
    <row r="325" spans="1:7" ht="15">
      <c r="A325" s="348" t="s">
        <v>212</v>
      </c>
      <c r="B325" s="350" t="s">
        <v>272</v>
      </c>
      <c r="C325" s="351" t="str">
        <f t="shared" si="13"/>
        <v>TBD</v>
      </c>
      <c r="F325" s="350" t="s">
        <v>272</v>
      </c>
      <c r="G325" s="351" t="str">
        <f t="shared" si="12"/>
        <v>TBD</v>
      </c>
    </row>
    <row r="326" spans="1:7" ht="15">
      <c r="A326" s="348" t="s">
        <v>213</v>
      </c>
      <c r="B326" s="350" t="s">
        <v>272</v>
      </c>
      <c r="C326" s="351" t="str">
        <f t="shared" si="13"/>
        <v>TBD</v>
      </c>
      <c r="F326" s="350" t="s">
        <v>272</v>
      </c>
      <c r="G326" s="351" t="str">
        <f t="shared" si="12"/>
        <v>TBD</v>
      </c>
    </row>
    <row r="327" spans="1:7" ht="15">
      <c r="A327" s="348" t="s">
        <v>214</v>
      </c>
      <c r="B327" s="350" t="s">
        <v>272</v>
      </c>
      <c r="C327" s="351" t="str">
        <f t="shared" si="13"/>
        <v>TBD</v>
      </c>
      <c r="F327" s="350" t="s">
        <v>272</v>
      </c>
      <c r="G327" s="351" t="str">
        <f t="shared" si="12"/>
        <v>TBD</v>
      </c>
    </row>
    <row r="328" spans="1:7" ht="15">
      <c r="A328" s="348" t="s">
        <v>215</v>
      </c>
      <c r="B328" s="350" t="s">
        <v>272</v>
      </c>
      <c r="C328" s="351" t="str">
        <f t="shared" si="13"/>
        <v>TBD</v>
      </c>
      <c r="F328" s="350" t="s">
        <v>272</v>
      </c>
      <c r="G328" s="351" t="str">
        <f t="shared" si="12"/>
        <v>TBD</v>
      </c>
    </row>
    <row r="329" spans="1:7" ht="15">
      <c r="A329" s="348" t="s">
        <v>216</v>
      </c>
      <c r="B329" s="350" t="s">
        <v>272</v>
      </c>
      <c r="C329" s="351" t="str">
        <f t="shared" si="13"/>
        <v>TBD</v>
      </c>
      <c r="F329" s="350" t="s">
        <v>272</v>
      </c>
      <c r="G329" s="351" t="str">
        <f t="shared" si="12"/>
        <v>TBD</v>
      </c>
    </row>
    <row r="330" spans="1:7" ht="15">
      <c r="A330" s="348" t="s">
        <v>217</v>
      </c>
      <c r="B330" s="350" t="s">
        <v>272</v>
      </c>
      <c r="C330" s="351" t="str">
        <f t="shared" si="13"/>
        <v>TBD</v>
      </c>
      <c r="F330" s="350" t="s">
        <v>272</v>
      </c>
      <c r="G330" s="351" t="str">
        <f t="shared" si="12"/>
        <v>TBD</v>
      </c>
    </row>
    <row r="331" spans="1:7" ht="15">
      <c r="A331" s="348" t="s">
        <v>218</v>
      </c>
      <c r="B331" s="350" t="s">
        <v>272</v>
      </c>
      <c r="C331" s="351" t="str">
        <f t="shared" si="13"/>
        <v>TBD</v>
      </c>
      <c r="F331" s="350" t="s">
        <v>272</v>
      </c>
      <c r="G331" s="351" t="str">
        <f t="shared" si="12"/>
        <v>TBD</v>
      </c>
    </row>
    <row r="332" spans="1:7" ht="15">
      <c r="A332" s="348" t="s">
        <v>219</v>
      </c>
      <c r="B332" s="350" t="s">
        <v>272</v>
      </c>
      <c r="C332" s="351" t="str">
        <f t="shared" si="13"/>
        <v>TBD</v>
      </c>
      <c r="F332" s="350" t="s">
        <v>272</v>
      </c>
      <c r="G332" s="351" t="str">
        <f t="shared" si="12"/>
        <v>TBD</v>
      </c>
    </row>
    <row r="333" spans="1:7" ht="15">
      <c r="A333" s="348" t="s">
        <v>220</v>
      </c>
      <c r="B333" s="350" t="s">
        <v>272</v>
      </c>
      <c r="C333" s="351" t="str">
        <f t="shared" si="13"/>
        <v>TBD</v>
      </c>
      <c r="F333" s="350" t="s">
        <v>272</v>
      </c>
      <c r="G333" s="351" t="str">
        <f t="shared" si="12"/>
        <v>TBD</v>
      </c>
    </row>
    <row r="334" spans="1:7" ht="15">
      <c r="A334" s="348" t="s">
        <v>221</v>
      </c>
      <c r="B334" s="350" t="s">
        <v>272</v>
      </c>
      <c r="C334" s="351" t="str">
        <f t="shared" si="13"/>
        <v>TBD</v>
      </c>
      <c r="F334" s="350" t="s">
        <v>272</v>
      </c>
      <c r="G334" s="351" t="str">
        <f t="shared" si="12"/>
        <v>TBD</v>
      </c>
    </row>
    <row r="335" spans="1:7" ht="15">
      <c r="A335" s="348" t="s">
        <v>222</v>
      </c>
      <c r="B335" s="350" t="s">
        <v>272</v>
      </c>
      <c r="C335" s="351" t="str">
        <f t="shared" si="13"/>
        <v>TBD</v>
      </c>
      <c r="F335" s="350" t="s">
        <v>272</v>
      </c>
      <c r="G335" s="351" t="str">
        <f t="shared" si="12"/>
        <v>TBD</v>
      </c>
    </row>
    <row r="336" spans="1:7" ht="15">
      <c r="A336" s="348" t="s">
        <v>223</v>
      </c>
      <c r="B336" s="350" t="s">
        <v>272</v>
      </c>
      <c r="C336" s="351" t="str">
        <f t="shared" si="13"/>
        <v>TBD</v>
      </c>
      <c r="F336" s="350" t="s">
        <v>272</v>
      </c>
      <c r="G336" s="351" t="str">
        <f t="shared" si="12"/>
        <v>TBD</v>
      </c>
    </row>
    <row r="337" spans="1:7" ht="15">
      <c r="A337" s="348" t="s">
        <v>224</v>
      </c>
      <c r="B337" s="350" t="s">
        <v>272</v>
      </c>
      <c r="C337" s="351" t="str">
        <f t="shared" si="13"/>
        <v>TBD</v>
      </c>
      <c r="F337" s="350" t="s">
        <v>272</v>
      </c>
      <c r="G337" s="351" t="str">
        <f t="shared" si="12"/>
        <v>TBD</v>
      </c>
    </row>
    <row r="338" spans="1:7" ht="15">
      <c r="A338" s="348" t="s">
        <v>225</v>
      </c>
      <c r="B338" s="350" t="s">
        <v>272</v>
      </c>
      <c r="C338" s="351" t="str">
        <f t="shared" si="13"/>
        <v>TBD</v>
      </c>
      <c r="F338" s="350" t="s">
        <v>272</v>
      </c>
      <c r="G338" s="351" t="str">
        <f t="shared" si="12"/>
        <v>TBD</v>
      </c>
    </row>
    <row r="339" spans="1:7" ht="15">
      <c r="A339" s="360" t="s">
        <v>185</v>
      </c>
      <c r="B339" s="361" t="s">
        <v>272</v>
      </c>
      <c r="C339" s="351" t="str">
        <f t="shared" si="13"/>
        <v>TBD</v>
      </c>
      <c r="D339" s="362"/>
      <c r="E339" s="362"/>
      <c r="F339" s="361" t="s">
        <v>272</v>
      </c>
      <c r="G339" s="351" t="str">
        <f t="shared" si="12"/>
        <v>TBD</v>
      </c>
    </row>
    <row r="340" spans="1:7" ht="15">
      <c r="A340" s="360" t="s">
        <v>226</v>
      </c>
      <c r="B340" s="361" t="s">
        <v>272</v>
      </c>
      <c r="C340" s="351" t="str">
        <f t="shared" si="13"/>
        <v>TBD</v>
      </c>
      <c r="D340" s="362"/>
      <c r="E340" s="362"/>
      <c r="F340" s="361" t="s">
        <v>272</v>
      </c>
      <c r="G340" s="351" t="str">
        <f t="shared" si="12"/>
        <v>TBD</v>
      </c>
    </row>
    <row r="341" spans="1:7" ht="15">
      <c r="A341" s="360" t="s">
        <v>227</v>
      </c>
      <c r="B341" s="361" t="s">
        <v>272</v>
      </c>
      <c r="C341" s="351" t="str">
        <f t="shared" si="13"/>
        <v>TBD</v>
      </c>
      <c r="D341" s="362"/>
      <c r="E341" s="362"/>
      <c r="F341" s="361" t="s">
        <v>272</v>
      </c>
      <c r="G341" s="351" t="str">
        <f t="shared" si="12"/>
        <v>TBD</v>
      </c>
    </row>
    <row r="342" spans="1:7" ht="15">
      <c r="A342" s="360" t="s">
        <v>228</v>
      </c>
      <c r="B342" s="361" t="s">
        <v>272</v>
      </c>
      <c r="C342" s="351" t="str">
        <f t="shared" si="13"/>
        <v>TBD</v>
      </c>
      <c r="D342" s="362"/>
      <c r="E342" s="362"/>
      <c r="F342" s="361" t="s">
        <v>272</v>
      </c>
      <c r="G342" s="351" t="str">
        <f t="shared" si="12"/>
        <v>TBD</v>
      </c>
    </row>
    <row r="343" spans="1:7" ht="15">
      <c r="A343" s="348" t="s">
        <v>229</v>
      </c>
      <c r="B343" s="350" t="s">
        <v>272</v>
      </c>
      <c r="C343" s="351" t="str">
        <f t="shared" si="13"/>
        <v>TBD</v>
      </c>
      <c r="F343" s="350" t="s">
        <v>272</v>
      </c>
      <c r="G343" s="351" t="str">
        <f t="shared" si="12"/>
        <v>TBD</v>
      </c>
    </row>
    <row r="344" spans="1:7" ht="15">
      <c r="A344" s="348" t="s">
        <v>230</v>
      </c>
      <c r="B344" s="350" t="s">
        <v>272</v>
      </c>
      <c r="C344" s="351" t="str">
        <f t="shared" si="13"/>
        <v>TBD</v>
      </c>
      <c r="F344" s="350" t="s">
        <v>272</v>
      </c>
      <c r="G344" s="351" t="str">
        <f t="shared" si="12"/>
        <v>TBD</v>
      </c>
    </row>
    <row r="345" spans="1:7" ht="15">
      <c r="A345" s="348" t="s">
        <v>231</v>
      </c>
      <c r="B345" s="350" t="s">
        <v>272</v>
      </c>
      <c r="C345" s="351" t="str">
        <f t="shared" si="13"/>
        <v>TBD</v>
      </c>
      <c r="F345" s="350" t="s">
        <v>272</v>
      </c>
      <c r="G345" s="351" t="str">
        <f t="shared" si="12"/>
        <v>TBD</v>
      </c>
    </row>
    <row r="346" spans="1:7" ht="15">
      <c r="A346" s="348" t="s">
        <v>232</v>
      </c>
      <c r="B346" s="350" t="s">
        <v>272</v>
      </c>
      <c r="C346" s="351" t="str">
        <f t="shared" si="13"/>
        <v>TBD</v>
      </c>
      <c r="F346" s="350" t="s">
        <v>272</v>
      </c>
      <c r="G346" s="351" t="str">
        <f t="shared" si="12"/>
        <v>TBD</v>
      </c>
    </row>
    <row r="347" spans="1:7" ht="15">
      <c r="A347" s="348" t="s">
        <v>233</v>
      </c>
      <c r="B347" s="350" t="s">
        <v>272</v>
      </c>
      <c r="C347" s="351" t="str">
        <f t="shared" si="13"/>
        <v>TBD</v>
      </c>
      <c r="F347" s="350" t="s">
        <v>272</v>
      </c>
      <c r="G347" s="351" t="str">
        <f t="shared" si="12"/>
        <v>TBD</v>
      </c>
    </row>
    <row r="348" spans="1:7" ht="15">
      <c r="A348" s="348" t="s">
        <v>234</v>
      </c>
      <c r="B348" s="350" t="s">
        <v>272</v>
      </c>
      <c r="C348" s="351" t="str">
        <f t="shared" si="13"/>
        <v>TBD</v>
      </c>
      <c r="F348" s="350" t="s">
        <v>272</v>
      </c>
      <c r="G348" s="351" t="str">
        <f t="shared" si="12"/>
        <v>TBD</v>
      </c>
    </row>
    <row r="349" spans="1:7" ht="15">
      <c r="A349" s="348" t="s">
        <v>235</v>
      </c>
      <c r="B349" s="350" t="s">
        <v>272</v>
      </c>
      <c r="C349" s="351" t="str">
        <f t="shared" si="13"/>
        <v>TBD</v>
      </c>
      <c r="F349" s="350" t="s">
        <v>272</v>
      </c>
      <c r="G349" s="351" t="str">
        <f t="shared" si="12"/>
        <v>TBD</v>
      </c>
    </row>
    <row r="350" spans="1:7" ht="15">
      <c r="A350" s="348" t="s">
        <v>236</v>
      </c>
      <c r="B350" s="350" t="s">
        <v>272</v>
      </c>
      <c r="C350" s="351" t="str">
        <f t="shared" si="13"/>
        <v>TBD</v>
      </c>
      <c r="F350" s="350" t="s">
        <v>272</v>
      </c>
      <c r="G350" s="351" t="str">
        <f t="shared" si="12"/>
        <v>TBD</v>
      </c>
    </row>
    <row r="351" spans="1:7" ht="15">
      <c r="A351" s="348" t="s">
        <v>237</v>
      </c>
      <c r="B351" s="350" t="s">
        <v>272</v>
      </c>
      <c r="C351" s="351" t="str">
        <f t="shared" si="13"/>
        <v>TBD</v>
      </c>
      <c r="F351" s="350" t="s">
        <v>272</v>
      </c>
      <c r="G351" s="351" t="str">
        <f t="shared" si="12"/>
        <v>TBD</v>
      </c>
    </row>
    <row r="352" spans="1:7" ht="15">
      <c r="A352" s="348" t="s">
        <v>238</v>
      </c>
      <c r="B352" s="350" t="s">
        <v>272</v>
      </c>
      <c r="C352" s="351" t="str">
        <f t="shared" si="13"/>
        <v>TBD</v>
      </c>
      <c r="F352" s="350" t="s">
        <v>272</v>
      </c>
      <c r="G352" s="351" t="str">
        <f t="shared" si="12"/>
        <v>TBD</v>
      </c>
    </row>
    <row r="353" spans="1:7" ht="15">
      <c r="A353" s="348" t="s">
        <v>239</v>
      </c>
      <c r="B353" s="350" t="s">
        <v>272</v>
      </c>
      <c r="C353" s="351" t="str">
        <f t="shared" si="13"/>
        <v>TBD</v>
      </c>
      <c r="F353" s="350" t="s">
        <v>272</v>
      </c>
      <c r="G353" s="351" t="str">
        <f t="shared" si="12"/>
        <v>TBD</v>
      </c>
    </row>
    <row r="354" spans="1:7" ht="15">
      <c r="A354" s="348" t="s">
        <v>240</v>
      </c>
      <c r="B354" s="350" t="s">
        <v>272</v>
      </c>
      <c r="C354" s="351" t="str">
        <f t="shared" si="13"/>
        <v>TBD</v>
      </c>
      <c r="F354" s="350" t="s">
        <v>272</v>
      </c>
      <c r="G354" s="351" t="str">
        <f t="shared" si="12"/>
        <v>TBD</v>
      </c>
    </row>
    <row r="355" spans="1:7" ht="15">
      <c r="A355" s="348" t="s">
        <v>241</v>
      </c>
      <c r="B355" s="350" t="s">
        <v>272</v>
      </c>
      <c r="C355" s="351" t="str">
        <f t="shared" si="13"/>
        <v>TBD</v>
      </c>
      <c r="F355" s="350" t="s">
        <v>272</v>
      </c>
      <c r="G355" s="351" t="str">
        <f t="shared" si="12"/>
        <v>TBD</v>
      </c>
    </row>
    <row r="356" spans="1:7" ht="15">
      <c r="A356" s="348" t="s">
        <v>242</v>
      </c>
      <c r="B356" s="350" t="s">
        <v>272</v>
      </c>
      <c r="C356" s="351" t="str">
        <f t="shared" si="13"/>
        <v>TBD</v>
      </c>
      <c r="F356" s="350" t="s">
        <v>272</v>
      </c>
      <c r="G356" s="351" t="str">
        <f t="shared" si="12"/>
        <v>TBD</v>
      </c>
    </row>
    <row r="357" spans="1:7" ht="15">
      <c r="A357" s="348" t="s">
        <v>138</v>
      </c>
      <c r="B357" s="354" t="s">
        <v>272</v>
      </c>
      <c r="C357" s="355" t="str">
        <f t="shared" si="13"/>
        <v>TBD</v>
      </c>
      <c r="F357" s="350" t="s">
        <v>272</v>
      </c>
      <c r="G357" s="351" t="str">
        <f t="shared" si="12"/>
        <v>TBD</v>
      </c>
    </row>
    <row r="358" spans="1:7" ht="15.75" thickBot="1">
      <c r="A358" s="348" t="s">
        <v>139</v>
      </c>
      <c r="B358" s="376">
        <f>SUM(B299:B357)</f>
        <v>0</v>
      </c>
      <c r="C358" s="353">
        <f>SUM(C299:C357)</f>
        <v>0</v>
      </c>
      <c r="F358" s="377">
        <f>SUM(F299:F357)</f>
        <v>0</v>
      </c>
      <c r="G358" s="359">
        <f>SUM(G299:G357)</f>
        <v>0</v>
      </c>
    </row>
  </sheetData>
  <sheetProtection/>
  <mergeCells count="21">
    <mergeCell ref="A32:G32"/>
    <mergeCell ref="A138:G138"/>
    <mergeCell ref="B142:C142"/>
    <mergeCell ref="F142:G142"/>
    <mergeCell ref="A4:G4"/>
    <mergeCell ref="A62:G62"/>
    <mergeCell ref="A63:G63"/>
    <mergeCell ref="B67:C67"/>
    <mergeCell ref="F67:G67"/>
    <mergeCell ref="A31:G31"/>
    <mergeCell ref="A5:G5"/>
    <mergeCell ref="B296:C296"/>
    <mergeCell ref="F296:G296"/>
    <mergeCell ref="A291:G291"/>
    <mergeCell ref="A292:G292"/>
    <mergeCell ref="A135:G135"/>
    <mergeCell ref="A214:G214"/>
    <mergeCell ref="A215:G215"/>
    <mergeCell ref="B219:C219"/>
    <mergeCell ref="F219:G219"/>
    <mergeCell ref="A137:G137"/>
  </mergeCells>
  <printOptions/>
  <pageMargins left="1.25" right="1" top="0.75" bottom="0.5" header="0.3" footer="0.3"/>
  <pageSetup fitToHeight="5" fitToWidth="1" horizontalDpi="600" verticalDpi="600" orientation="portrait" scale="62" r:id="rId1"/>
  <headerFooter alignWithMargins="0">
    <oddHeader>&amp;C&amp;"Calibri,Bold"&amp;14&amp;A</oddHeader>
    <oddFooter>&amp;L&amp;Z&amp;F &amp;A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Mateo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GonzaleG</dc:creator>
  <cp:keywords/>
  <dc:description/>
  <cp:lastModifiedBy>Bill Chiat</cp:lastModifiedBy>
  <cp:lastPrinted>2013-09-09T19:30:22Z</cp:lastPrinted>
  <dcterms:created xsi:type="dcterms:W3CDTF">2012-11-29T23:46:32Z</dcterms:created>
  <dcterms:modified xsi:type="dcterms:W3CDTF">2013-09-09T23:11:53Z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