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chia\Google Drive\CSAC Institute\Institute Courses\Realignment - 307\"/>
    </mc:Choice>
  </mc:AlternateContent>
  <bookViews>
    <workbookView xWindow="0" yWindow="0" windowWidth="28800" windowHeight="14235" firstSheet="4" activeTab="4"/>
  </bookViews>
  <sheets>
    <sheet name="About the workbook" sheetId="10" r:id="rId1"/>
    <sheet name="FY SetUp Instructions" sheetId="18" r:id="rId2"/>
    <sheet name="Monthly Instructions" sheetId="11" r:id="rId3"/>
    <sheet name="County One Time Input-BASE" sheetId="8" r:id="rId4"/>
    <sheet name="Monthly Receipts Input" sheetId="3" r:id="rId5"/>
    <sheet name="County Dist Support Svc Acct" sheetId="6" r:id="rId6"/>
    <sheet name="County Distribution Law Enf" sheetId="9" r:id="rId7"/>
    <sheet name="Statewide Forecast Model" sheetId="1" r:id="rId8"/>
    <sheet name="County One Time Input-GROWTH" sheetId="15" r:id="rId9"/>
    <sheet name="Sheet1" sheetId="16" r:id="rId10"/>
    <sheet name="For next year" sheetId="17" r:id="rId11"/>
    <sheet name="SMC Prior Year Receipts" sheetId="19" r:id="rId12"/>
    <sheet name="SMC FISCAL YEAR Receipts" sheetId="20" r:id="rId13"/>
  </sheets>
  <calcPr calcId="162913"/>
</workbook>
</file>

<file path=xl/calcChain.xml><?xml version="1.0" encoding="utf-8"?>
<calcChain xmlns="http://schemas.openxmlformats.org/spreadsheetml/2006/main">
  <c r="F82" i="20" l="1"/>
  <c r="E82" i="20"/>
  <c r="F77" i="20"/>
  <c r="E77" i="20"/>
  <c r="E76" i="20"/>
  <c r="B76" i="20"/>
  <c r="F75" i="20"/>
  <c r="E75" i="20"/>
  <c r="B74" i="20"/>
  <c r="F73" i="20"/>
  <c r="E73" i="20"/>
  <c r="F72" i="20"/>
  <c r="E72" i="20"/>
  <c r="F71" i="20"/>
  <c r="F74" i="20" s="1"/>
  <c r="E71" i="20"/>
  <c r="E74" i="20" s="1"/>
  <c r="F69" i="20"/>
  <c r="F76" i="20" s="1"/>
  <c r="E69" i="20"/>
  <c r="R67" i="20"/>
  <c r="F67" i="20"/>
  <c r="E67" i="20"/>
  <c r="B67" i="20"/>
  <c r="F66" i="20"/>
  <c r="E66" i="20"/>
  <c r="B66" i="20"/>
  <c r="F65" i="20"/>
  <c r="E65" i="20"/>
  <c r="F64" i="20"/>
  <c r="E64" i="20"/>
  <c r="F63" i="20"/>
  <c r="E63" i="20"/>
  <c r="R61" i="20"/>
  <c r="R77" i="20" s="1"/>
  <c r="F61" i="20"/>
  <c r="E61" i="20"/>
  <c r="B61" i="20"/>
  <c r="B77" i="20" s="1"/>
  <c r="C59" i="20"/>
  <c r="B59" i="20"/>
  <c r="R53" i="20"/>
  <c r="F53" i="20"/>
  <c r="E53" i="20"/>
  <c r="B53" i="20"/>
  <c r="B54" i="20" s="1"/>
  <c r="F52" i="20"/>
  <c r="B52" i="20"/>
  <c r="F51" i="20"/>
  <c r="E51" i="20"/>
  <c r="F50" i="20"/>
  <c r="E50" i="20"/>
  <c r="F49" i="20"/>
  <c r="E49" i="20"/>
  <c r="F47" i="20"/>
  <c r="E47" i="20"/>
  <c r="F46" i="20"/>
  <c r="E46" i="20"/>
  <c r="B45" i="20"/>
  <c r="F44" i="20"/>
  <c r="E44" i="20"/>
  <c r="F43" i="20"/>
  <c r="E43" i="20"/>
  <c r="F42" i="20"/>
  <c r="E42" i="20"/>
  <c r="F41" i="20"/>
  <c r="E41" i="20"/>
  <c r="F40" i="20"/>
  <c r="E40" i="20"/>
  <c r="F39" i="20"/>
  <c r="E39" i="20"/>
  <c r="F38" i="20"/>
  <c r="E38" i="20"/>
  <c r="F37" i="20"/>
  <c r="E37" i="20"/>
  <c r="F36" i="20"/>
  <c r="E36" i="20"/>
  <c r="F35" i="20"/>
  <c r="E35" i="20"/>
  <c r="F34" i="20"/>
  <c r="E34" i="20"/>
  <c r="F33" i="20"/>
  <c r="E33" i="20"/>
  <c r="F32" i="20"/>
  <c r="E32" i="20"/>
  <c r="F30" i="20"/>
  <c r="E30" i="20"/>
  <c r="F29" i="20"/>
  <c r="E29" i="20"/>
  <c r="F28" i="20"/>
  <c r="E28" i="20"/>
  <c r="F27" i="20"/>
  <c r="E27" i="20"/>
  <c r="F26" i="20"/>
  <c r="E26" i="20"/>
  <c r="F25" i="20"/>
  <c r="F54" i="20" s="1"/>
  <c r="E25" i="20"/>
  <c r="E54" i="20" s="1"/>
  <c r="C23" i="20"/>
  <c r="B23" i="20"/>
  <c r="R21" i="20"/>
  <c r="G21" i="20"/>
  <c r="R20" i="20"/>
  <c r="R19" i="20"/>
  <c r="S16" i="20"/>
  <c r="F16" i="20"/>
  <c r="E16" i="20"/>
  <c r="F15" i="20"/>
  <c r="E15" i="20"/>
  <c r="I14" i="20"/>
  <c r="H14" i="20"/>
  <c r="G14" i="20"/>
  <c r="F14" i="20"/>
  <c r="E14" i="20"/>
  <c r="E17" i="20" s="1"/>
  <c r="C12" i="20"/>
  <c r="B12" i="20"/>
  <c r="G10" i="20"/>
  <c r="E8" i="20"/>
  <c r="S7" i="20"/>
  <c r="F7" i="20"/>
  <c r="E7" i="20"/>
  <c r="F6" i="20"/>
  <c r="E6" i="20"/>
  <c r="F5" i="20"/>
  <c r="E5" i="20"/>
  <c r="R2" i="20"/>
  <c r="D1" i="20"/>
  <c r="E108" i="17"/>
  <c r="C70" i="17"/>
  <c r="E69" i="17"/>
  <c r="C69" i="17"/>
  <c r="D49" i="17"/>
  <c r="C49" i="17"/>
  <c r="B49" i="17"/>
  <c r="E48" i="17"/>
  <c r="E47" i="17"/>
  <c r="E46" i="17"/>
  <c r="E45" i="17"/>
  <c r="E41" i="17"/>
  <c r="E33" i="17" s="1"/>
  <c r="D41" i="17"/>
  <c r="C41" i="17"/>
  <c r="B41" i="17"/>
  <c r="E40" i="17"/>
  <c r="E39" i="17"/>
  <c r="D21" i="17"/>
  <c r="B21" i="17"/>
  <c r="B20" i="17"/>
  <c r="B19" i="17"/>
  <c r="B18" i="17"/>
  <c r="B17" i="17"/>
  <c r="D13" i="17"/>
  <c r="B11" i="17"/>
  <c r="D23" i="16"/>
  <c r="B23" i="16"/>
  <c r="E22" i="16"/>
  <c r="E25" i="16" s="1"/>
  <c r="E26" i="16" s="1"/>
  <c r="B22" i="16"/>
  <c r="F21" i="16"/>
  <c r="K21" i="16" s="1"/>
  <c r="B21" i="16"/>
  <c r="B20" i="16"/>
  <c r="F20" i="16" s="1"/>
  <c r="K20" i="16" s="1"/>
  <c r="B19" i="16"/>
  <c r="D15" i="16"/>
  <c r="I14" i="16"/>
  <c r="I15" i="16" s="1"/>
  <c r="B13" i="16"/>
  <c r="F8" i="16"/>
  <c r="I6" i="16"/>
  <c r="I5" i="16"/>
  <c r="F437" i="15"/>
  <c r="B437" i="15"/>
  <c r="B360" i="15"/>
  <c r="F283" i="15"/>
  <c r="B283" i="15"/>
  <c r="F207" i="15"/>
  <c r="B207" i="15"/>
  <c r="C143" i="15"/>
  <c r="C160" i="15" s="1"/>
  <c r="F132" i="15"/>
  <c r="F59" i="15"/>
  <c r="B59" i="15"/>
  <c r="G38" i="15"/>
  <c r="F38" i="15"/>
  <c r="C29" i="15"/>
  <c r="F27" i="15"/>
  <c r="G21" i="15"/>
  <c r="C16" i="15"/>
  <c r="F14" i="15"/>
  <c r="R15" i="20" s="1"/>
  <c r="F12" i="15"/>
  <c r="G8" i="15"/>
  <c r="F8" i="15"/>
  <c r="C2" i="15"/>
  <c r="F25" i="15" s="1"/>
  <c r="R19" i="9" s="1"/>
  <c r="C1" i="15"/>
  <c r="B43" i="1"/>
  <c r="B23" i="1"/>
  <c r="A23" i="1"/>
  <c r="B22" i="1"/>
  <c r="A22" i="1"/>
  <c r="B21" i="1"/>
  <c r="B24" i="1" s="1"/>
  <c r="A21" i="1"/>
  <c r="B20" i="1"/>
  <c r="A20" i="1"/>
  <c r="D16" i="1"/>
  <c r="F11" i="1"/>
  <c r="E11" i="1"/>
  <c r="B11" i="1"/>
  <c r="A11" i="1"/>
  <c r="A10" i="1"/>
  <c r="B9" i="1"/>
  <c r="A9" i="1"/>
  <c r="D5" i="1"/>
  <c r="D3" i="1"/>
  <c r="R21" i="9"/>
  <c r="D15" i="9"/>
  <c r="C15" i="9"/>
  <c r="B15" i="9"/>
  <c r="G13" i="9"/>
  <c r="M11" i="9"/>
  <c r="K11" i="9"/>
  <c r="C11" i="9"/>
  <c r="R10" i="9"/>
  <c r="B10" i="9"/>
  <c r="R9" i="9"/>
  <c r="B9" i="9"/>
  <c r="P8" i="9"/>
  <c r="O8" i="9"/>
  <c r="N8" i="9"/>
  <c r="M8" i="9"/>
  <c r="L8" i="9"/>
  <c r="K8" i="9"/>
  <c r="J8" i="9"/>
  <c r="I8" i="9"/>
  <c r="H8" i="9"/>
  <c r="G8" i="9"/>
  <c r="F8" i="9"/>
  <c r="E8" i="9"/>
  <c r="C8" i="9"/>
  <c r="P7" i="9"/>
  <c r="O7" i="9"/>
  <c r="N7" i="9"/>
  <c r="M7" i="9"/>
  <c r="L7" i="9"/>
  <c r="K7" i="9"/>
  <c r="J7" i="9"/>
  <c r="I7" i="9"/>
  <c r="H7" i="9"/>
  <c r="G7" i="9"/>
  <c r="F7" i="9"/>
  <c r="E7" i="9"/>
  <c r="C7" i="9"/>
  <c r="P6" i="9"/>
  <c r="O6" i="9"/>
  <c r="N6" i="9"/>
  <c r="M6" i="9"/>
  <c r="L6" i="9"/>
  <c r="K6" i="9"/>
  <c r="J6" i="9"/>
  <c r="I6" i="9"/>
  <c r="H6" i="9"/>
  <c r="G6" i="9"/>
  <c r="F6" i="9"/>
  <c r="E6" i="9"/>
  <c r="C6" i="9"/>
  <c r="P5" i="9"/>
  <c r="O5" i="9"/>
  <c r="O11" i="9" s="1"/>
  <c r="N5" i="9"/>
  <c r="N11" i="9" s="1"/>
  <c r="M5" i="9"/>
  <c r="L5" i="9"/>
  <c r="K5" i="9"/>
  <c r="J5" i="9"/>
  <c r="I5" i="9"/>
  <c r="I11" i="9" s="1"/>
  <c r="H5" i="9"/>
  <c r="G5" i="9"/>
  <c r="F5" i="9"/>
  <c r="F11" i="9" s="1"/>
  <c r="E5" i="9"/>
  <c r="E11" i="9" s="1"/>
  <c r="C5" i="9"/>
  <c r="D3" i="9"/>
  <c r="S1" i="9"/>
  <c r="D1" i="9"/>
  <c r="R77" i="6"/>
  <c r="B76" i="6"/>
  <c r="B74" i="6"/>
  <c r="R67" i="6"/>
  <c r="B67" i="6"/>
  <c r="B66" i="6"/>
  <c r="R61" i="6"/>
  <c r="B61" i="6"/>
  <c r="C59" i="6"/>
  <c r="B59" i="6"/>
  <c r="R53" i="6"/>
  <c r="G53" i="6"/>
  <c r="I53" i="20" s="1"/>
  <c r="F53" i="6"/>
  <c r="H53" i="20" s="1"/>
  <c r="E53" i="6"/>
  <c r="G53" i="20" s="1"/>
  <c r="B53" i="6"/>
  <c r="B52" i="6"/>
  <c r="F49" i="6"/>
  <c r="G47" i="6"/>
  <c r="F47" i="6"/>
  <c r="H47" i="20" s="1"/>
  <c r="E47" i="6"/>
  <c r="G47" i="20" s="1"/>
  <c r="B47" i="6"/>
  <c r="G46" i="6"/>
  <c r="I46" i="20" s="1"/>
  <c r="F46" i="6"/>
  <c r="H46" i="20" s="1"/>
  <c r="B46" i="6"/>
  <c r="B45" i="6"/>
  <c r="F44" i="6"/>
  <c r="H44" i="20" s="1"/>
  <c r="F43" i="6"/>
  <c r="H43" i="20" s="1"/>
  <c r="F42" i="6"/>
  <c r="H42" i="20" s="1"/>
  <c r="F40" i="6"/>
  <c r="H40" i="20" s="1"/>
  <c r="F30" i="6"/>
  <c r="B30" i="6"/>
  <c r="G29" i="6"/>
  <c r="I29" i="20" s="1"/>
  <c r="E29" i="6"/>
  <c r="G29" i="20" s="1"/>
  <c r="B29" i="6"/>
  <c r="F29" i="6" s="1"/>
  <c r="H29" i="20" s="1"/>
  <c r="B28" i="6"/>
  <c r="G28" i="6" s="1"/>
  <c r="I28" i="20" s="1"/>
  <c r="G27" i="6"/>
  <c r="I27" i="20" s="1"/>
  <c r="F27" i="6"/>
  <c r="H27" i="20" s="1"/>
  <c r="E27" i="6"/>
  <c r="G27" i="20" s="1"/>
  <c r="B27" i="6"/>
  <c r="G26" i="6"/>
  <c r="I26" i="20" s="1"/>
  <c r="F26" i="6"/>
  <c r="H26" i="20" s="1"/>
  <c r="E26" i="6"/>
  <c r="G26" i="20" s="1"/>
  <c r="B26" i="6"/>
  <c r="G25" i="6"/>
  <c r="I25" i="20" s="1"/>
  <c r="F25" i="6"/>
  <c r="E25" i="6"/>
  <c r="B25" i="6"/>
  <c r="C23" i="6"/>
  <c r="B23" i="6"/>
  <c r="R21" i="6"/>
  <c r="G21" i="6"/>
  <c r="R20" i="6"/>
  <c r="R19" i="6"/>
  <c r="R15" i="6"/>
  <c r="C12" i="6"/>
  <c r="B12" i="6"/>
  <c r="G10" i="6"/>
  <c r="K8" i="6"/>
  <c r="J8" i="6"/>
  <c r="S7" i="6"/>
  <c r="S16" i="6" s="1"/>
  <c r="P7" i="6"/>
  <c r="O7" i="6"/>
  <c r="N7" i="6"/>
  <c r="M7" i="6"/>
  <c r="O7" i="20" s="1"/>
  <c r="L7" i="6"/>
  <c r="K7" i="6"/>
  <c r="M7" i="20" s="1"/>
  <c r="J7" i="6"/>
  <c r="L7" i="20" s="1"/>
  <c r="I7" i="6"/>
  <c r="K7" i="20" s="1"/>
  <c r="H7" i="6"/>
  <c r="G7" i="6"/>
  <c r="I7" i="20" s="1"/>
  <c r="F7" i="6"/>
  <c r="E7" i="6"/>
  <c r="G7" i="20" s="1"/>
  <c r="C7" i="6"/>
  <c r="C7" i="20" s="1"/>
  <c r="P6" i="6"/>
  <c r="O6" i="6"/>
  <c r="N6" i="6"/>
  <c r="P6" i="20" s="1"/>
  <c r="M6" i="6"/>
  <c r="L6" i="6"/>
  <c r="N6" i="20" s="1"/>
  <c r="K6" i="6"/>
  <c r="M6" i="20" s="1"/>
  <c r="J6" i="6"/>
  <c r="L6" i="20" s="1"/>
  <c r="I6" i="6"/>
  <c r="K6" i="20" s="1"/>
  <c r="H6" i="6"/>
  <c r="J6" i="20" s="1"/>
  <c r="G6" i="6"/>
  <c r="F6" i="6"/>
  <c r="H6" i="20" s="1"/>
  <c r="E6" i="6"/>
  <c r="P5" i="6"/>
  <c r="P8" i="6" s="1"/>
  <c r="O5" i="6"/>
  <c r="N5" i="6"/>
  <c r="M5" i="6"/>
  <c r="L5" i="6"/>
  <c r="N5" i="20" s="1"/>
  <c r="K5" i="6"/>
  <c r="M5" i="20" s="1"/>
  <c r="J5" i="6"/>
  <c r="L5" i="20" s="1"/>
  <c r="L8" i="20" s="1"/>
  <c r="I5" i="6"/>
  <c r="K5" i="20" s="1"/>
  <c r="H5" i="6"/>
  <c r="G5" i="6"/>
  <c r="F5" i="6"/>
  <c r="E5" i="6"/>
  <c r="G5" i="20" s="1"/>
  <c r="C5" i="6"/>
  <c r="C5" i="20" s="1"/>
  <c r="R2" i="6"/>
  <c r="D1" i="6"/>
  <c r="C107" i="3"/>
  <c r="C106" i="3"/>
  <c r="C105" i="3"/>
  <c r="C104" i="3"/>
  <c r="C103" i="3"/>
  <c r="C102" i="3"/>
  <c r="B95" i="3"/>
  <c r="B93" i="3"/>
  <c r="R86" i="3"/>
  <c r="R96" i="3" s="1"/>
  <c r="J86" i="3"/>
  <c r="J94" i="3" s="1"/>
  <c r="B86" i="3"/>
  <c r="B85" i="3"/>
  <c r="O83" i="3"/>
  <c r="H83" i="3"/>
  <c r="H82" i="3"/>
  <c r="H85" i="3" s="1"/>
  <c r="R80" i="3"/>
  <c r="P80" i="3"/>
  <c r="P82" i="3" s="1"/>
  <c r="O80" i="3"/>
  <c r="O82" i="3" s="1"/>
  <c r="N80" i="3"/>
  <c r="N82" i="3" s="1"/>
  <c r="H80" i="3"/>
  <c r="H84" i="3" s="1"/>
  <c r="G80" i="3"/>
  <c r="G84" i="3" s="1"/>
  <c r="F80" i="3"/>
  <c r="F82" i="3" s="1"/>
  <c r="B80" i="3"/>
  <c r="I80" i="3" s="1"/>
  <c r="O64" i="3"/>
  <c r="N64" i="3"/>
  <c r="M64" i="3"/>
  <c r="L64" i="3"/>
  <c r="K64" i="3"/>
  <c r="I64" i="3"/>
  <c r="G64" i="3"/>
  <c r="F64" i="3"/>
  <c r="E64" i="3"/>
  <c r="B64" i="3"/>
  <c r="J64" i="3" s="1"/>
  <c r="R63" i="3"/>
  <c r="P63" i="3"/>
  <c r="O63" i="3"/>
  <c r="N63" i="3"/>
  <c r="M63" i="3"/>
  <c r="L63" i="3"/>
  <c r="K63" i="3"/>
  <c r="I63" i="3"/>
  <c r="H63" i="3"/>
  <c r="G63" i="3"/>
  <c r="F63" i="3"/>
  <c r="E63" i="3"/>
  <c r="B63" i="3"/>
  <c r="J63" i="3" s="1"/>
  <c r="B62" i="3"/>
  <c r="O57" i="3"/>
  <c r="O61" i="3" s="1"/>
  <c r="J57" i="3"/>
  <c r="E57" i="3"/>
  <c r="E61" i="3" s="1"/>
  <c r="B57" i="3"/>
  <c r="L57" i="3" s="1"/>
  <c r="L56" i="3"/>
  <c r="G56" i="3"/>
  <c r="B56" i="3"/>
  <c r="J56" i="3" s="1"/>
  <c r="B55" i="3"/>
  <c r="P40" i="3"/>
  <c r="P54" i="3" s="1"/>
  <c r="K40" i="3"/>
  <c r="K53" i="3" s="1"/>
  <c r="H40" i="3"/>
  <c r="H54" i="3" s="1"/>
  <c r="E40" i="3"/>
  <c r="B40" i="3"/>
  <c r="J40" i="3" s="1"/>
  <c r="B39" i="3"/>
  <c r="O38" i="3"/>
  <c r="I38" i="3"/>
  <c r="E38" i="3"/>
  <c r="B38" i="3"/>
  <c r="J38" i="3" s="1"/>
  <c r="N37" i="3"/>
  <c r="I37" i="3"/>
  <c r="B37" i="3"/>
  <c r="J37" i="3" s="1"/>
  <c r="M36" i="3"/>
  <c r="I36" i="3"/>
  <c r="B36" i="3"/>
  <c r="J36" i="3" s="1"/>
  <c r="M35" i="3"/>
  <c r="H35" i="3"/>
  <c r="B35" i="3"/>
  <c r="I35" i="3" s="1"/>
  <c r="R31" i="3"/>
  <c r="R30" i="3"/>
  <c r="S29" i="3"/>
  <c r="R29" i="3"/>
  <c r="F27" i="3"/>
  <c r="G27" i="3" s="1"/>
  <c r="H27" i="3" s="1"/>
  <c r="I27" i="3" s="1"/>
  <c r="J27" i="3" s="1"/>
  <c r="K27" i="3" s="1"/>
  <c r="L27" i="3" s="1"/>
  <c r="M27" i="3" s="1"/>
  <c r="N27" i="3" s="1"/>
  <c r="O27" i="3" s="1"/>
  <c r="P27" i="3" s="1"/>
  <c r="E27" i="3"/>
  <c r="M22" i="3"/>
  <c r="I22" i="3"/>
  <c r="E22" i="3"/>
  <c r="P20" i="3"/>
  <c r="O20" i="3"/>
  <c r="N20" i="3"/>
  <c r="M20" i="3"/>
  <c r="L20" i="3"/>
  <c r="K20" i="3"/>
  <c r="J20" i="3"/>
  <c r="I20" i="3"/>
  <c r="H20" i="3"/>
  <c r="G20" i="3"/>
  <c r="F20" i="3"/>
  <c r="E20" i="3"/>
  <c r="R19" i="3"/>
  <c r="N19" i="3"/>
  <c r="N10" i="9" s="1"/>
  <c r="M19" i="3"/>
  <c r="M10" i="9" s="1"/>
  <c r="K19" i="3"/>
  <c r="K10" i="9" s="1"/>
  <c r="I19" i="3"/>
  <c r="I10" i="9" s="1"/>
  <c r="F19" i="3"/>
  <c r="F10" i="9" s="1"/>
  <c r="E19" i="3"/>
  <c r="E10" i="9" s="1"/>
  <c r="B19" i="3"/>
  <c r="P19" i="3" s="1"/>
  <c r="P10" i="9" s="1"/>
  <c r="R18" i="3"/>
  <c r="B18" i="3"/>
  <c r="N18" i="3" s="1"/>
  <c r="N9" i="9" s="1"/>
  <c r="R17" i="3"/>
  <c r="R8" i="9" s="1"/>
  <c r="C17" i="3"/>
  <c r="A17" i="3"/>
  <c r="R16" i="3"/>
  <c r="R7" i="9" s="1"/>
  <c r="C16" i="3"/>
  <c r="A16" i="3"/>
  <c r="R15" i="3"/>
  <c r="R6" i="9" s="1"/>
  <c r="C15" i="3"/>
  <c r="A15" i="3"/>
  <c r="R14" i="3"/>
  <c r="R5" i="9" s="1"/>
  <c r="C14" i="3"/>
  <c r="A14" i="3"/>
  <c r="D12" i="3"/>
  <c r="R11" i="3"/>
  <c r="R2" i="9" s="1"/>
  <c r="P8" i="3"/>
  <c r="O8" i="3"/>
  <c r="O22" i="3" s="1"/>
  <c r="N8" i="3"/>
  <c r="N22" i="3" s="1"/>
  <c r="M8" i="3"/>
  <c r="L8" i="3"/>
  <c r="K8" i="3"/>
  <c r="K22" i="3" s="1"/>
  <c r="J8" i="3"/>
  <c r="J22" i="3" s="1"/>
  <c r="I8" i="3"/>
  <c r="H8" i="3"/>
  <c r="G8" i="3"/>
  <c r="G22" i="3" s="1"/>
  <c r="F8" i="3"/>
  <c r="F22" i="3" s="1"/>
  <c r="E8" i="3"/>
  <c r="R7" i="3"/>
  <c r="D7" i="3"/>
  <c r="D11" i="1" s="1"/>
  <c r="C7" i="3"/>
  <c r="C98" i="3" s="1"/>
  <c r="A7" i="3"/>
  <c r="S6" i="3"/>
  <c r="R6" i="3"/>
  <c r="A6" i="3"/>
  <c r="R5" i="3"/>
  <c r="C5" i="3"/>
  <c r="C64" i="3" s="1"/>
  <c r="A5" i="3"/>
  <c r="D3" i="3"/>
  <c r="R2" i="3"/>
  <c r="S1" i="3"/>
  <c r="S1" i="20" s="1"/>
  <c r="F350" i="8"/>
  <c r="B350" i="8"/>
  <c r="B278" i="8"/>
  <c r="C242" i="8"/>
  <c r="C239" i="8"/>
  <c r="C235" i="8"/>
  <c r="C231" i="8"/>
  <c r="C227" i="8"/>
  <c r="C223" i="8"/>
  <c r="C219" i="8"/>
  <c r="G214" i="8"/>
  <c r="C214" i="8"/>
  <c r="C272" i="8" s="1"/>
  <c r="F206" i="8"/>
  <c r="B206" i="8"/>
  <c r="G204" i="8"/>
  <c r="G203" i="8"/>
  <c r="C203" i="8"/>
  <c r="G200" i="8"/>
  <c r="G199" i="8"/>
  <c r="C199" i="8"/>
  <c r="G196" i="8"/>
  <c r="G195" i="8"/>
  <c r="C195" i="8"/>
  <c r="C193" i="8"/>
  <c r="G192" i="8"/>
  <c r="G191" i="8"/>
  <c r="C191" i="8"/>
  <c r="C189" i="8"/>
  <c r="G188" i="8"/>
  <c r="G187" i="8"/>
  <c r="C187" i="8"/>
  <c r="C185" i="8"/>
  <c r="G184" i="8"/>
  <c r="G183" i="8"/>
  <c r="C183" i="8"/>
  <c r="C181" i="8"/>
  <c r="G180" i="8"/>
  <c r="G179" i="8"/>
  <c r="C179" i="8"/>
  <c r="C177" i="8"/>
  <c r="G176" i="8"/>
  <c r="G175" i="8"/>
  <c r="C175" i="8"/>
  <c r="C173" i="8"/>
  <c r="G172" i="8"/>
  <c r="G171" i="8"/>
  <c r="C171" i="8"/>
  <c r="C169" i="8"/>
  <c r="G168" i="8"/>
  <c r="G167" i="8"/>
  <c r="C167" i="8"/>
  <c r="C165" i="8"/>
  <c r="G164" i="8"/>
  <c r="G163" i="8"/>
  <c r="C163" i="8"/>
  <c r="C161" i="8"/>
  <c r="G160" i="8"/>
  <c r="G159" i="8"/>
  <c r="C159" i="8"/>
  <c r="C157" i="8"/>
  <c r="G156" i="8"/>
  <c r="G155" i="8"/>
  <c r="C155" i="8"/>
  <c r="C153" i="8"/>
  <c r="G152" i="8"/>
  <c r="C152" i="8"/>
  <c r="G151" i="8"/>
  <c r="C151" i="8"/>
  <c r="C149" i="8"/>
  <c r="G148" i="8"/>
  <c r="C148" i="8"/>
  <c r="G147" i="8"/>
  <c r="C147" i="8"/>
  <c r="G142" i="8"/>
  <c r="G202" i="8" s="1"/>
  <c r="C142" i="8"/>
  <c r="C205" i="8" s="1"/>
  <c r="F132" i="8"/>
  <c r="B132" i="8"/>
  <c r="C131" i="8"/>
  <c r="C127" i="8"/>
  <c r="C123" i="8"/>
  <c r="C119" i="8"/>
  <c r="C115" i="8"/>
  <c r="C111" i="8"/>
  <c r="C107" i="8"/>
  <c r="C103" i="8"/>
  <c r="C99" i="8"/>
  <c r="C95" i="8"/>
  <c r="C91" i="8"/>
  <c r="C87" i="8"/>
  <c r="C83" i="8"/>
  <c r="C79" i="8"/>
  <c r="C75" i="8"/>
  <c r="C73" i="8"/>
  <c r="C68" i="8"/>
  <c r="C129" i="8" s="1"/>
  <c r="F62" i="8"/>
  <c r="B62" i="8"/>
  <c r="G58" i="8"/>
  <c r="F58" i="8"/>
  <c r="F53" i="8"/>
  <c r="B53" i="8"/>
  <c r="C52" i="8"/>
  <c r="C48" i="8"/>
  <c r="C44" i="8"/>
  <c r="G41" i="8"/>
  <c r="F41" i="8"/>
  <c r="C39" i="8"/>
  <c r="C46" i="8" s="1"/>
  <c r="B33" i="8"/>
  <c r="F32" i="8"/>
  <c r="B22" i="9" s="1"/>
  <c r="I22" i="9" s="1"/>
  <c r="B32" i="8"/>
  <c r="G31" i="8"/>
  <c r="C21" i="9" s="1"/>
  <c r="F31" i="8"/>
  <c r="B21" i="9" s="1"/>
  <c r="B31" i="8"/>
  <c r="C30" i="8"/>
  <c r="F29" i="8"/>
  <c r="B19" i="9" s="1"/>
  <c r="F28" i="8"/>
  <c r="B18" i="9" s="1"/>
  <c r="C28" i="8"/>
  <c r="F27" i="8"/>
  <c r="B17" i="9" s="1"/>
  <c r="G25" i="8"/>
  <c r="F25" i="8"/>
  <c r="C19" i="8"/>
  <c r="C18" i="8"/>
  <c r="C17" i="8"/>
  <c r="C16" i="8"/>
  <c r="C15" i="8"/>
  <c r="C14" i="8"/>
  <c r="G13" i="8"/>
  <c r="F13" i="8"/>
  <c r="F12" i="8"/>
  <c r="B12" i="8"/>
  <c r="F11" i="8"/>
  <c r="G9" i="8"/>
  <c r="F9" i="8"/>
  <c r="B14" i="16" l="1"/>
  <c r="B12" i="17"/>
  <c r="B10" i="1"/>
  <c r="B12" i="1" s="1"/>
  <c r="B27" i="1" s="1"/>
  <c r="C6" i="6"/>
  <c r="C6" i="3"/>
  <c r="C76" i="3" s="1"/>
  <c r="M18" i="9"/>
  <c r="L18" i="9"/>
  <c r="E18" i="9"/>
  <c r="C50" i="8"/>
  <c r="C81" i="8"/>
  <c r="C89" i="8"/>
  <c r="C105" i="8"/>
  <c r="G28" i="8"/>
  <c r="C18" i="9" s="1"/>
  <c r="G149" i="8"/>
  <c r="G206" i="8" s="1"/>
  <c r="G153" i="8"/>
  <c r="G157" i="8"/>
  <c r="G161" i="8"/>
  <c r="G165" i="8"/>
  <c r="G169" i="8"/>
  <c r="G173" i="8"/>
  <c r="G177" i="8"/>
  <c r="G181" i="8"/>
  <c r="G185" i="8"/>
  <c r="G189" i="8"/>
  <c r="G193" i="8"/>
  <c r="G197" i="8"/>
  <c r="G201" i="8"/>
  <c r="G205" i="8"/>
  <c r="C222" i="8"/>
  <c r="C230" i="8"/>
  <c r="C238" i="8"/>
  <c r="C241" i="8"/>
  <c r="C244" i="8"/>
  <c r="C247" i="8"/>
  <c r="C250" i="8"/>
  <c r="H22" i="3"/>
  <c r="P22" i="3"/>
  <c r="F18" i="3"/>
  <c r="F9" i="9" s="1"/>
  <c r="B14" i="20"/>
  <c r="B14" i="6"/>
  <c r="C27" i="8"/>
  <c r="C29" i="8"/>
  <c r="C9" i="9"/>
  <c r="C286" i="8"/>
  <c r="C43" i="8"/>
  <c r="C47" i="8"/>
  <c r="C51" i="8"/>
  <c r="C56" i="8"/>
  <c r="C74" i="8"/>
  <c r="C132" i="8" s="1"/>
  <c r="C78" i="8"/>
  <c r="C82" i="8"/>
  <c r="C86" i="8"/>
  <c r="C90" i="8"/>
  <c r="C94" i="8"/>
  <c r="C98" i="8"/>
  <c r="C102" i="8"/>
  <c r="C106" i="8"/>
  <c r="C110" i="8"/>
  <c r="C114" i="8"/>
  <c r="C118" i="8"/>
  <c r="C122" i="8"/>
  <c r="C126" i="8"/>
  <c r="C130" i="8"/>
  <c r="C150" i="8"/>
  <c r="C154" i="8"/>
  <c r="C206" i="8" s="1"/>
  <c r="C158" i="8"/>
  <c r="C162" i="8"/>
  <c r="C166" i="8"/>
  <c r="C170" i="8"/>
  <c r="C174" i="8"/>
  <c r="C178" i="8"/>
  <c r="C182" i="8"/>
  <c r="C186" i="8"/>
  <c r="C190" i="8"/>
  <c r="C194" i="8"/>
  <c r="C198" i="8"/>
  <c r="C202" i="8"/>
  <c r="C225" i="8"/>
  <c r="C233" i="8"/>
  <c r="C270" i="8"/>
  <c r="C276" i="8"/>
  <c r="J18" i="3"/>
  <c r="J9" i="9" s="1"/>
  <c r="K39" i="3"/>
  <c r="I39" i="3"/>
  <c r="L39" i="3"/>
  <c r="J39" i="3"/>
  <c r="H39" i="3"/>
  <c r="P39" i="3"/>
  <c r="F39" i="3"/>
  <c r="O39" i="3"/>
  <c r="E39" i="3"/>
  <c r="N39" i="3"/>
  <c r="C21" i="1"/>
  <c r="B6" i="9"/>
  <c r="B15" i="3"/>
  <c r="C23" i="1"/>
  <c r="B8" i="9"/>
  <c r="B17" i="3"/>
  <c r="G11" i="8"/>
  <c r="B16" i="20"/>
  <c r="B16" i="6"/>
  <c r="B20" i="8"/>
  <c r="O21" i="9"/>
  <c r="M21" i="9"/>
  <c r="K21" i="9"/>
  <c r="I21" i="9"/>
  <c r="G21" i="9"/>
  <c r="G150" i="8"/>
  <c r="G154" i="8"/>
  <c r="G158" i="8"/>
  <c r="G162" i="8"/>
  <c r="G166" i="8"/>
  <c r="G170" i="8"/>
  <c r="G174" i="8"/>
  <c r="G178" i="8"/>
  <c r="G182" i="8"/>
  <c r="G186" i="8"/>
  <c r="G190" i="8"/>
  <c r="G194" i="8"/>
  <c r="G198" i="8"/>
  <c r="C220" i="8"/>
  <c r="C278" i="8" s="1"/>
  <c r="C228" i="8"/>
  <c r="C236" i="8"/>
  <c r="C248" i="8"/>
  <c r="C251" i="8"/>
  <c r="C254" i="8"/>
  <c r="C262" i="8"/>
  <c r="C266" i="8"/>
  <c r="G39" i="3"/>
  <c r="L19" i="9"/>
  <c r="K19" i="9"/>
  <c r="I19" i="9"/>
  <c r="E19" i="9"/>
  <c r="C258" i="8"/>
  <c r="C271" i="8"/>
  <c r="S64" i="3"/>
  <c r="S63" i="3"/>
  <c r="M39" i="3"/>
  <c r="G17" i="9"/>
  <c r="F17" i="9"/>
  <c r="O17" i="9"/>
  <c r="N17" i="9"/>
  <c r="K17" i="9"/>
  <c r="E17" i="9"/>
  <c r="C12" i="8"/>
  <c r="G27" i="8"/>
  <c r="G29" i="8"/>
  <c r="C19" i="9" s="1"/>
  <c r="C10" i="9"/>
  <c r="G286" i="8"/>
  <c r="C226" i="8"/>
  <c r="C234" i="8"/>
  <c r="C255" i="8"/>
  <c r="C263" i="8"/>
  <c r="L22" i="3"/>
  <c r="C20" i="3"/>
  <c r="S37" i="3"/>
  <c r="J53" i="3"/>
  <c r="J51" i="3"/>
  <c r="J49" i="3"/>
  <c r="J47" i="3"/>
  <c r="J45" i="3"/>
  <c r="J43" i="3"/>
  <c r="J54" i="3"/>
  <c r="J52" i="3"/>
  <c r="J50" i="3"/>
  <c r="J48" i="3"/>
  <c r="J46" i="3"/>
  <c r="J44" i="3"/>
  <c r="J42" i="3"/>
  <c r="J55" i="3" s="1"/>
  <c r="C45" i="8"/>
  <c r="C49" i="8"/>
  <c r="B47" i="15"/>
  <c r="R57" i="3" s="1"/>
  <c r="S57" i="3" s="1"/>
  <c r="B42" i="15"/>
  <c r="R37" i="3" s="1"/>
  <c r="B40" i="15"/>
  <c r="B46" i="15"/>
  <c r="R56" i="3" s="1"/>
  <c r="S56" i="3" s="1"/>
  <c r="B43" i="15"/>
  <c r="R38" i="3" s="1"/>
  <c r="S38" i="3" s="1"/>
  <c r="B41" i="15"/>
  <c r="R36" i="3" s="1"/>
  <c r="S36" i="3" s="1"/>
  <c r="B45" i="15"/>
  <c r="R40" i="3" s="1"/>
  <c r="S54" i="3" s="1"/>
  <c r="B44" i="15"/>
  <c r="R39" i="3" s="1"/>
  <c r="S39" i="3" s="1"/>
  <c r="C76" i="8"/>
  <c r="C80" i="8"/>
  <c r="C84" i="8"/>
  <c r="C88" i="8"/>
  <c r="C92" i="8"/>
  <c r="C96" i="8"/>
  <c r="C100" i="8"/>
  <c r="C104" i="8"/>
  <c r="C108" i="8"/>
  <c r="C112" i="8"/>
  <c r="C116" i="8"/>
  <c r="C120" i="8"/>
  <c r="C124" i="8"/>
  <c r="C128" i="8"/>
  <c r="B127" i="15"/>
  <c r="B119" i="15"/>
  <c r="B129" i="15"/>
  <c r="B121" i="15"/>
  <c r="B113" i="15"/>
  <c r="F10" i="15" s="1"/>
  <c r="B125" i="15"/>
  <c r="B100" i="15"/>
  <c r="B92" i="15"/>
  <c r="B84" i="15"/>
  <c r="B76" i="15"/>
  <c r="B124" i="15"/>
  <c r="B117" i="15"/>
  <c r="B102" i="15"/>
  <c r="B94" i="15"/>
  <c r="B86" i="15"/>
  <c r="B78" i="15"/>
  <c r="B130" i="15"/>
  <c r="B120" i="15"/>
  <c r="B107" i="15"/>
  <c r="B93" i="15"/>
  <c r="B79" i="15"/>
  <c r="B75" i="15"/>
  <c r="B118" i="15"/>
  <c r="B95" i="15"/>
  <c r="B91" i="15"/>
  <c r="B77" i="15"/>
  <c r="B109" i="15"/>
  <c r="B105" i="15"/>
  <c r="B98" i="15"/>
  <c r="B80" i="15"/>
  <c r="B73" i="15"/>
  <c r="B126" i="15"/>
  <c r="B122" i="15"/>
  <c r="B101" i="15"/>
  <c r="B87" i="15"/>
  <c r="B83" i="15"/>
  <c r="B110" i="15"/>
  <c r="B103" i="15"/>
  <c r="B128" i="15"/>
  <c r="B88" i="15"/>
  <c r="B81" i="15"/>
  <c r="B74" i="15"/>
  <c r="B116" i="15"/>
  <c r="B108" i="15"/>
  <c r="B115" i="15"/>
  <c r="B99" i="15"/>
  <c r="B85" i="15"/>
  <c r="B123" i="15"/>
  <c r="B114" i="15"/>
  <c r="B106" i="15"/>
  <c r="B112" i="15"/>
  <c r="B104" i="15"/>
  <c r="B97" i="15"/>
  <c r="B90" i="15"/>
  <c r="B111" i="15"/>
  <c r="B96" i="15"/>
  <c r="B89" i="15"/>
  <c r="B82" i="15"/>
  <c r="C156" i="8"/>
  <c r="C160" i="8"/>
  <c r="C164" i="8"/>
  <c r="C168" i="8"/>
  <c r="C172" i="8"/>
  <c r="C176" i="8"/>
  <c r="C180" i="8"/>
  <c r="C184" i="8"/>
  <c r="C188" i="8"/>
  <c r="C192" i="8"/>
  <c r="C196" i="8"/>
  <c r="C200" i="8"/>
  <c r="C204" i="8"/>
  <c r="C277" i="8"/>
  <c r="C269" i="8"/>
  <c r="C261" i="8"/>
  <c r="C253" i="8"/>
  <c r="C245" i="8"/>
  <c r="C274" i="8"/>
  <c r="C273" i="8"/>
  <c r="C265" i="8"/>
  <c r="C257" i="8"/>
  <c r="C275" i="8"/>
  <c r="C267" i="8"/>
  <c r="C259" i="8"/>
  <c r="C221" i="8"/>
  <c r="C229" i="8"/>
  <c r="C237" i="8"/>
  <c r="C240" i="8"/>
  <c r="C243" i="8"/>
  <c r="C246" i="8"/>
  <c r="C249" i="8"/>
  <c r="C252" i="8"/>
  <c r="C268" i="8"/>
  <c r="C19" i="3"/>
  <c r="C18" i="3"/>
  <c r="L61" i="3"/>
  <c r="L59" i="3"/>
  <c r="L60" i="3"/>
  <c r="B15" i="20"/>
  <c r="B15" i="6"/>
  <c r="G32" i="8"/>
  <c r="C22" i="9" s="1"/>
  <c r="G68" i="8"/>
  <c r="C224" i="8"/>
  <c r="C232" i="8"/>
  <c r="C256" i="8"/>
  <c r="C260" i="8"/>
  <c r="C264" i="8"/>
  <c r="G12" i="8"/>
  <c r="G56" i="8" s="1"/>
  <c r="F44" i="15"/>
  <c r="F45" i="15"/>
  <c r="F42" i="15"/>
  <c r="F40" i="15"/>
  <c r="F43" i="15"/>
  <c r="F47" i="15"/>
  <c r="F46" i="15"/>
  <c r="F41" i="15"/>
  <c r="C77" i="8"/>
  <c r="C85" i="8"/>
  <c r="C93" i="8"/>
  <c r="C97" i="8"/>
  <c r="C101" i="8"/>
  <c r="C109" i="8"/>
  <c r="C113" i="8"/>
  <c r="C117" i="8"/>
  <c r="C121" i="8"/>
  <c r="C125" i="8"/>
  <c r="C197" i="8"/>
  <c r="C201" i="8"/>
  <c r="D100" i="3"/>
  <c r="D78" i="3"/>
  <c r="D33" i="3"/>
  <c r="S6" i="20"/>
  <c r="S15" i="20" s="1"/>
  <c r="S6" i="6"/>
  <c r="S80" i="3"/>
  <c r="S86" i="3"/>
  <c r="D6" i="3"/>
  <c r="D10" i="1" s="1"/>
  <c r="I18" i="3"/>
  <c r="I9" i="9" s="1"/>
  <c r="P18" i="3"/>
  <c r="P9" i="9" s="1"/>
  <c r="H18" i="3"/>
  <c r="H9" i="9" s="1"/>
  <c r="O18" i="3"/>
  <c r="O9" i="9" s="1"/>
  <c r="G18" i="3"/>
  <c r="G9" i="9" s="1"/>
  <c r="M18" i="3"/>
  <c r="M9" i="9" s="1"/>
  <c r="E18" i="3"/>
  <c r="E9" i="9" s="1"/>
  <c r="L18" i="3"/>
  <c r="L9" i="9" s="1"/>
  <c r="K18" i="3"/>
  <c r="K9" i="9" s="1"/>
  <c r="R5" i="20"/>
  <c r="R5" i="6"/>
  <c r="S16" i="3"/>
  <c r="J19" i="3"/>
  <c r="J10" i="9" s="1"/>
  <c r="S31" i="3"/>
  <c r="J35" i="3"/>
  <c r="J65" i="3" s="1"/>
  <c r="F40" i="3"/>
  <c r="P43" i="3"/>
  <c r="P45" i="3"/>
  <c r="P47" i="3"/>
  <c r="P49" i="3"/>
  <c r="P51" i="3"/>
  <c r="P53" i="3"/>
  <c r="H56" i="3"/>
  <c r="E59" i="3"/>
  <c r="O59" i="3"/>
  <c r="B65" i="3"/>
  <c r="P84" i="3"/>
  <c r="L86" i="3"/>
  <c r="K86" i="3"/>
  <c r="O86" i="3"/>
  <c r="G86" i="3"/>
  <c r="G96" i="3" s="1"/>
  <c r="N86" i="3"/>
  <c r="F86" i="3"/>
  <c r="F96" i="3" s="1"/>
  <c r="M86" i="3"/>
  <c r="E86" i="3"/>
  <c r="S1" i="6"/>
  <c r="S5" i="3"/>
  <c r="K35" i="3"/>
  <c r="O36" i="3"/>
  <c r="G36" i="3"/>
  <c r="K36" i="3"/>
  <c r="M37" i="3"/>
  <c r="M65" i="3" s="1"/>
  <c r="E37" i="3"/>
  <c r="K37" i="3"/>
  <c r="M38" i="3"/>
  <c r="K38" i="3"/>
  <c r="L38" i="3"/>
  <c r="K42" i="3"/>
  <c r="K44" i="3"/>
  <c r="K46" i="3"/>
  <c r="K48" i="3"/>
  <c r="K50" i="3"/>
  <c r="K52" i="3"/>
  <c r="K54" i="3"/>
  <c r="I56" i="3"/>
  <c r="K57" i="3"/>
  <c r="I57" i="3"/>
  <c r="M57" i="3"/>
  <c r="I82" i="3"/>
  <c r="I83" i="3"/>
  <c r="H86" i="3"/>
  <c r="J88" i="3"/>
  <c r="B105" i="3"/>
  <c r="S15" i="3"/>
  <c r="L19" i="3"/>
  <c r="L10" i="9" s="1"/>
  <c r="C35" i="3"/>
  <c r="L35" i="3"/>
  <c r="C36" i="3"/>
  <c r="L36" i="3"/>
  <c r="C37" i="3"/>
  <c r="L37" i="3"/>
  <c r="N38" i="3"/>
  <c r="H43" i="3"/>
  <c r="H45" i="3"/>
  <c r="H47" i="3"/>
  <c r="H49" i="3"/>
  <c r="H51" i="3"/>
  <c r="H53" i="3"/>
  <c r="N57" i="3"/>
  <c r="F83" i="3"/>
  <c r="F85" i="3" s="1"/>
  <c r="F84" i="3"/>
  <c r="G82" i="3"/>
  <c r="I86" i="3"/>
  <c r="I96" i="3" s="1"/>
  <c r="H96" i="3"/>
  <c r="E60" i="3"/>
  <c r="O60" i="3"/>
  <c r="P83" i="3"/>
  <c r="P85" i="3" s="1"/>
  <c r="R7" i="20"/>
  <c r="R7" i="6"/>
  <c r="S14" i="3"/>
  <c r="E35" i="3"/>
  <c r="N35" i="3"/>
  <c r="N65" i="3" s="1"/>
  <c r="E36" i="3"/>
  <c r="N36" i="3"/>
  <c r="F37" i="3"/>
  <c r="O37" i="3"/>
  <c r="F38" i="3"/>
  <c r="P38" i="3"/>
  <c r="I40" i="3"/>
  <c r="O40" i="3"/>
  <c r="G40" i="3"/>
  <c r="L40" i="3"/>
  <c r="P42" i="3"/>
  <c r="P44" i="3"/>
  <c r="P46" i="3"/>
  <c r="P48" i="3"/>
  <c r="P50" i="3"/>
  <c r="P52" i="3"/>
  <c r="M56" i="3"/>
  <c r="E56" i="3"/>
  <c r="K56" i="3"/>
  <c r="N56" i="3"/>
  <c r="F57" i="3"/>
  <c r="P57" i="3"/>
  <c r="P86" i="3"/>
  <c r="G19" i="3"/>
  <c r="G10" i="9" s="1"/>
  <c r="O19" i="3"/>
  <c r="O10" i="9" s="1"/>
  <c r="S30" i="3"/>
  <c r="F35" i="3"/>
  <c r="O35" i="3"/>
  <c r="F36" i="3"/>
  <c r="P36" i="3"/>
  <c r="G37" i="3"/>
  <c r="P37" i="3"/>
  <c r="G38" i="3"/>
  <c r="C40" i="3"/>
  <c r="M40" i="3"/>
  <c r="K43" i="3"/>
  <c r="K45" i="3"/>
  <c r="K47" i="3"/>
  <c r="K49" i="3"/>
  <c r="K51" i="3"/>
  <c r="O56" i="3"/>
  <c r="G57" i="3"/>
  <c r="N96" i="3"/>
  <c r="N83" i="3"/>
  <c r="N85" i="3" s="1"/>
  <c r="N84" i="3"/>
  <c r="C108" i="3"/>
  <c r="B107" i="3" s="1"/>
  <c r="I5" i="20"/>
  <c r="G8" i="6"/>
  <c r="O14" i="6"/>
  <c r="O8" i="6"/>
  <c r="C57" i="3"/>
  <c r="C39" i="3"/>
  <c r="C56" i="3"/>
  <c r="C38" i="3"/>
  <c r="R6" i="20"/>
  <c r="R6" i="6"/>
  <c r="C8" i="3"/>
  <c r="C22" i="3" s="1"/>
  <c r="S17" i="3"/>
  <c r="H19" i="3"/>
  <c r="H10" i="9" s="1"/>
  <c r="C31" i="3"/>
  <c r="G35" i="3"/>
  <c r="G65" i="3" s="1"/>
  <c r="P35" i="3"/>
  <c r="H36" i="3"/>
  <c r="H65" i="3" s="1"/>
  <c r="H37" i="3"/>
  <c r="H38" i="3"/>
  <c r="N40" i="3"/>
  <c r="H42" i="3"/>
  <c r="H44" i="3"/>
  <c r="H46" i="3"/>
  <c r="H48" i="3"/>
  <c r="H50" i="3"/>
  <c r="H52" i="3"/>
  <c r="F56" i="3"/>
  <c r="P56" i="3"/>
  <c r="H57" i="3"/>
  <c r="O96" i="3"/>
  <c r="O84" i="3"/>
  <c r="O85" i="3" s="1"/>
  <c r="I84" i="3"/>
  <c r="J5" i="20"/>
  <c r="J8" i="20" s="1"/>
  <c r="H8" i="6"/>
  <c r="H14" i="6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J59" i="3"/>
  <c r="J62" i="3" s="1"/>
  <c r="J61" i="3"/>
  <c r="J60" i="3"/>
  <c r="C63" i="3"/>
  <c r="G83" i="3"/>
  <c r="D3" i="6"/>
  <c r="D12" i="6"/>
  <c r="J7" i="20"/>
  <c r="H16" i="6"/>
  <c r="P16" i="6"/>
  <c r="P82" i="6" s="1"/>
  <c r="H64" i="3"/>
  <c r="P64" i="3"/>
  <c r="K80" i="3"/>
  <c r="B102" i="3"/>
  <c r="D7" i="6"/>
  <c r="N7" i="20"/>
  <c r="L16" i="6"/>
  <c r="N15" i="6"/>
  <c r="H25" i="20"/>
  <c r="F28" i="6"/>
  <c r="H28" i="20" s="1"/>
  <c r="H49" i="20"/>
  <c r="H19" i="9"/>
  <c r="P19" i="9"/>
  <c r="L80" i="3"/>
  <c r="N8" i="20"/>
  <c r="G6" i="20"/>
  <c r="E15" i="6"/>
  <c r="O6" i="20"/>
  <c r="E8" i="6"/>
  <c r="J14" i="6"/>
  <c r="H30" i="20"/>
  <c r="F39" i="6"/>
  <c r="H39" i="20" s="1"/>
  <c r="F41" i="6"/>
  <c r="H41" i="20" s="1"/>
  <c r="F36" i="6"/>
  <c r="H36" i="20" s="1"/>
  <c r="F34" i="6"/>
  <c r="H34" i="20" s="1"/>
  <c r="F38" i="6"/>
  <c r="H38" i="20" s="1"/>
  <c r="F32" i="6"/>
  <c r="F18" i="9"/>
  <c r="N18" i="9"/>
  <c r="E80" i="3"/>
  <c r="M80" i="3"/>
  <c r="G8" i="20"/>
  <c r="O5" i="20"/>
  <c r="O8" i="20" s="1"/>
  <c r="M14" i="6"/>
  <c r="H7" i="20"/>
  <c r="F16" i="6"/>
  <c r="P7" i="20"/>
  <c r="N16" i="6"/>
  <c r="F15" i="6"/>
  <c r="J16" i="6"/>
  <c r="F35" i="6"/>
  <c r="H35" i="20" s="1"/>
  <c r="F37" i="6"/>
  <c r="H37" i="20" s="1"/>
  <c r="E21" i="9"/>
  <c r="H5" i="20"/>
  <c r="F8" i="6"/>
  <c r="P5" i="20"/>
  <c r="P8" i="20" s="1"/>
  <c r="N8" i="6"/>
  <c r="I6" i="20"/>
  <c r="I8" i="6"/>
  <c r="E46" i="6"/>
  <c r="G46" i="20" s="1"/>
  <c r="M17" i="9"/>
  <c r="H18" i="9"/>
  <c r="P18" i="9"/>
  <c r="N22" i="9"/>
  <c r="P14" i="6"/>
  <c r="J18" i="9"/>
  <c r="M19" i="9"/>
  <c r="H21" i="9"/>
  <c r="H22" i="9"/>
  <c r="P21" i="9"/>
  <c r="P22" i="9"/>
  <c r="L8" i="6"/>
  <c r="E16" i="6"/>
  <c r="G30" i="6"/>
  <c r="E30" i="6"/>
  <c r="F33" i="6"/>
  <c r="H33" i="20" s="1"/>
  <c r="E50" i="6"/>
  <c r="G50" i="20" s="1"/>
  <c r="B96" i="3"/>
  <c r="J80" i="3"/>
  <c r="M8" i="6"/>
  <c r="G25" i="20"/>
  <c r="E54" i="6"/>
  <c r="E28" i="6"/>
  <c r="G28" i="20" s="1"/>
  <c r="E49" i="6"/>
  <c r="G19" i="9"/>
  <c r="O19" i="9"/>
  <c r="J22" i="9"/>
  <c r="K8" i="20"/>
  <c r="B54" i="6"/>
  <c r="B77" i="6"/>
  <c r="I18" i="9"/>
  <c r="K22" i="9"/>
  <c r="I17" i="9"/>
  <c r="C168" i="15"/>
  <c r="C183" i="15"/>
  <c r="C196" i="15"/>
  <c r="J17" i="9"/>
  <c r="L21" i="9"/>
  <c r="G11" i="9"/>
  <c r="C155" i="15"/>
  <c r="M8" i="20"/>
  <c r="F50" i="6"/>
  <c r="K18" i="9"/>
  <c r="E22" i="9"/>
  <c r="M22" i="9"/>
  <c r="C171" i="15"/>
  <c r="C204" i="15"/>
  <c r="I47" i="20"/>
  <c r="G49" i="6"/>
  <c r="G50" i="6"/>
  <c r="I50" i="20" s="1"/>
  <c r="L17" i="9"/>
  <c r="L11" i="9"/>
  <c r="F19" i="9"/>
  <c r="N19" i="9"/>
  <c r="F21" i="9"/>
  <c r="N21" i="9"/>
  <c r="J11" i="9"/>
  <c r="J21" i="9"/>
  <c r="F22" i="9"/>
  <c r="G22" i="9"/>
  <c r="O22" i="9"/>
  <c r="C206" i="15"/>
  <c r="C202" i="15"/>
  <c r="C198" i="15"/>
  <c r="C194" i="15"/>
  <c r="C190" i="15"/>
  <c r="C186" i="15"/>
  <c r="C182" i="15"/>
  <c r="C178" i="15"/>
  <c r="C174" i="15"/>
  <c r="C170" i="15"/>
  <c r="C166" i="15"/>
  <c r="C162" i="15"/>
  <c r="C158" i="15"/>
  <c r="C154" i="15"/>
  <c r="C150" i="15"/>
  <c r="C205" i="15"/>
  <c r="C201" i="15"/>
  <c r="C197" i="15"/>
  <c r="C193" i="15"/>
  <c r="C189" i="15"/>
  <c r="C185" i="15"/>
  <c r="C181" i="15"/>
  <c r="C177" i="15"/>
  <c r="C173" i="15"/>
  <c r="C169" i="15"/>
  <c r="C165" i="15"/>
  <c r="C161" i="15"/>
  <c r="C157" i="15"/>
  <c r="C153" i="15"/>
  <c r="C149" i="15"/>
  <c r="C199" i="15"/>
  <c r="C191" i="15"/>
  <c r="C184" i="15"/>
  <c r="C163" i="15"/>
  <c r="C156" i="15"/>
  <c r="C148" i="15"/>
  <c r="C203" i="15"/>
  <c r="C195" i="15"/>
  <c r="C188" i="15"/>
  <c r="C180" i="15"/>
  <c r="C167" i="15"/>
  <c r="C159" i="15"/>
  <c r="C152" i="15"/>
  <c r="C187" i="15"/>
  <c r="C200" i="15"/>
  <c r="C179" i="15"/>
  <c r="C172" i="15"/>
  <c r="C164" i="15"/>
  <c r="C151" i="15"/>
  <c r="C175" i="15"/>
  <c r="B29" i="1"/>
  <c r="D18" i="1"/>
  <c r="D7" i="1"/>
  <c r="C176" i="15"/>
  <c r="G18" i="9"/>
  <c r="O18" i="9"/>
  <c r="C192" i="15"/>
  <c r="H17" i="9"/>
  <c r="H11" i="9"/>
  <c r="P17" i="9"/>
  <c r="P11" i="9"/>
  <c r="J19" i="9"/>
  <c r="L22" i="9"/>
  <c r="F28" i="15"/>
  <c r="R22" i="9" s="1"/>
  <c r="F55" i="15"/>
  <c r="G55" i="15"/>
  <c r="F11" i="15"/>
  <c r="S19" i="20" s="1"/>
  <c r="F21" i="15"/>
  <c r="F24" i="15"/>
  <c r="R18" i="9" s="1"/>
  <c r="D7" i="20"/>
  <c r="D12" i="20"/>
  <c r="D3" i="20"/>
  <c r="F23" i="15"/>
  <c r="R17" i="9" s="1"/>
  <c r="B13" i="17"/>
  <c r="B15" i="16"/>
  <c r="F8" i="20"/>
  <c r="F45" i="17"/>
  <c r="F39" i="17"/>
  <c r="E52" i="20"/>
  <c r="I7" i="16"/>
  <c r="F40" i="17"/>
  <c r="D6" i="20"/>
  <c r="E49" i="17"/>
  <c r="F46" i="17" s="1"/>
  <c r="F17" i="20"/>
  <c r="E45" i="20"/>
  <c r="F45" i="20"/>
  <c r="D38" i="3" l="1"/>
  <c r="B83" i="17" s="1"/>
  <c r="D39" i="3"/>
  <c r="B84" i="17" s="1"/>
  <c r="D56" i="3"/>
  <c r="B101" i="17" s="1"/>
  <c r="S53" i="20"/>
  <c r="S60" i="3"/>
  <c r="D57" i="3"/>
  <c r="B102" i="17" s="1"/>
  <c r="S59" i="3"/>
  <c r="S61" i="3"/>
  <c r="G49" i="20"/>
  <c r="H54" i="20"/>
  <c r="J14" i="20"/>
  <c r="H47" i="6"/>
  <c r="H29" i="6"/>
  <c r="J29" i="20" s="1"/>
  <c r="H27" i="6"/>
  <c r="J27" i="20" s="1"/>
  <c r="H26" i="6"/>
  <c r="J26" i="20" s="1"/>
  <c r="H46" i="6"/>
  <c r="J46" i="20" s="1"/>
  <c r="H53" i="6"/>
  <c r="J53" i="20" s="1"/>
  <c r="H30" i="6"/>
  <c r="H25" i="6"/>
  <c r="H28" i="6"/>
  <c r="J28" i="20" s="1"/>
  <c r="N53" i="3"/>
  <c r="N51" i="3"/>
  <c r="N49" i="3"/>
  <c r="N47" i="3"/>
  <c r="N45" i="3"/>
  <c r="N43" i="3"/>
  <c r="N54" i="3"/>
  <c r="N52" i="3"/>
  <c r="N50" i="3"/>
  <c r="N48" i="3"/>
  <c r="N46" i="3"/>
  <c r="N44" i="3"/>
  <c r="N42" i="3"/>
  <c r="S8" i="9"/>
  <c r="D17" i="3"/>
  <c r="D23" i="1" s="1"/>
  <c r="S19" i="3"/>
  <c r="D19" i="3" s="1"/>
  <c r="S18" i="3"/>
  <c r="D18" i="3" s="1"/>
  <c r="G60" i="3"/>
  <c r="G59" i="3"/>
  <c r="G62" i="3" s="1"/>
  <c r="G61" i="3"/>
  <c r="C53" i="3"/>
  <c r="C51" i="3"/>
  <c r="C49" i="3"/>
  <c r="C47" i="3"/>
  <c r="C45" i="3"/>
  <c r="C43" i="3"/>
  <c r="C54" i="3"/>
  <c r="C52" i="3"/>
  <c r="C50" i="3"/>
  <c r="C48" i="3"/>
  <c r="C46" i="3"/>
  <c r="C44" i="3"/>
  <c r="C42" i="3"/>
  <c r="S20" i="20"/>
  <c r="S20" i="6"/>
  <c r="L53" i="3"/>
  <c r="L51" i="3"/>
  <c r="L49" i="3"/>
  <c r="L47" i="3"/>
  <c r="L45" i="3"/>
  <c r="L43" i="3"/>
  <c r="L54" i="3"/>
  <c r="L52" i="3"/>
  <c r="L50" i="3"/>
  <c r="L48" i="3"/>
  <c r="L46" i="3"/>
  <c r="L44" i="3"/>
  <c r="L42" i="3"/>
  <c r="L55" i="3" s="1"/>
  <c r="K88" i="3"/>
  <c r="K94" i="3"/>
  <c r="S96" i="3"/>
  <c r="S82" i="3"/>
  <c r="D80" i="3"/>
  <c r="S83" i="3"/>
  <c r="S84" i="3"/>
  <c r="R30" i="20"/>
  <c r="S37" i="20" s="1"/>
  <c r="R30" i="6"/>
  <c r="B132" i="15"/>
  <c r="B6" i="20"/>
  <c r="C10" i="1"/>
  <c r="B6" i="6"/>
  <c r="B6" i="3"/>
  <c r="S40" i="3"/>
  <c r="C11" i="8"/>
  <c r="C7" i="8"/>
  <c r="E5" i="1" s="1"/>
  <c r="B35" i="8"/>
  <c r="C13" i="8"/>
  <c r="C36" i="1"/>
  <c r="C40" i="1"/>
  <c r="C32" i="1"/>
  <c r="C42" i="1"/>
  <c r="C34" i="1"/>
  <c r="C38" i="1"/>
  <c r="C33" i="1"/>
  <c r="C41" i="1"/>
  <c r="C37" i="1"/>
  <c r="C31" i="1"/>
  <c r="C39" i="1"/>
  <c r="C35" i="1"/>
  <c r="D23" i="20"/>
  <c r="D59" i="20"/>
  <c r="G30" i="20"/>
  <c r="E38" i="6"/>
  <c r="G38" i="20" s="1"/>
  <c r="E40" i="6"/>
  <c r="G40" i="20" s="1"/>
  <c r="E41" i="6"/>
  <c r="G41" i="20" s="1"/>
  <c r="E43" i="6"/>
  <c r="G43" i="20" s="1"/>
  <c r="E34" i="6"/>
  <c r="G34" i="20" s="1"/>
  <c r="E33" i="6"/>
  <c r="G33" i="20" s="1"/>
  <c r="E44" i="6"/>
  <c r="G44" i="20" s="1"/>
  <c r="E42" i="6"/>
  <c r="G42" i="20" s="1"/>
  <c r="E32" i="6"/>
  <c r="E39" i="6"/>
  <c r="G39" i="20" s="1"/>
  <c r="E37" i="6"/>
  <c r="G37" i="20" s="1"/>
  <c r="E36" i="6"/>
  <c r="G36" i="20" s="1"/>
  <c r="E35" i="6"/>
  <c r="G35" i="20" s="1"/>
  <c r="H16" i="20"/>
  <c r="F82" i="6"/>
  <c r="H82" i="20" s="1"/>
  <c r="L84" i="3"/>
  <c r="L82" i="3"/>
  <c r="L96" i="3"/>
  <c r="L83" i="3"/>
  <c r="P15" i="20"/>
  <c r="N67" i="6"/>
  <c r="N61" i="6"/>
  <c r="O30" i="6"/>
  <c r="O46" i="6"/>
  <c r="O28" i="6"/>
  <c r="O25" i="6"/>
  <c r="O47" i="6"/>
  <c r="O26" i="6"/>
  <c r="O53" i="6"/>
  <c r="O29" i="6"/>
  <c r="O27" i="6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55" i="3" s="1"/>
  <c r="S6" i="9"/>
  <c r="D15" i="3"/>
  <c r="D21" i="1" s="1"/>
  <c r="M59" i="3"/>
  <c r="M61" i="3"/>
  <c r="M60" i="3"/>
  <c r="L88" i="3"/>
  <c r="L94" i="3"/>
  <c r="S7" i="9"/>
  <c r="D16" i="3"/>
  <c r="D22" i="1" s="1"/>
  <c r="S15" i="6"/>
  <c r="D6" i="6"/>
  <c r="R29" i="20"/>
  <c r="S29" i="20" s="1"/>
  <c r="R29" i="6"/>
  <c r="G128" i="8"/>
  <c r="G124" i="8"/>
  <c r="G120" i="8"/>
  <c r="G116" i="8"/>
  <c r="G112" i="8"/>
  <c r="G108" i="8"/>
  <c r="G104" i="8"/>
  <c r="G100" i="8"/>
  <c r="G96" i="8"/>
  <c r="G92" i="8"/>
  <c r="G88" i="8"/>
  <c r="G84" i="8"/>
  <c r="G80" i="8"/>
  <c r="G76" i="8"/>
  <c r="G131" i="8"/>
  <c r="G127" i="8"/>
  <c r="G123" i="8"/>
  <c r="G119" i="8"/>
  <c r="G115" i="8"/>
  <c r="G111" i="8"/>
  <c r="G107" i="8"/>
  <c r="G103" i="8"/>
  <c r="G99" i="8"/>
  <c r="G95" i="8"/>
  <c r="G91" i="8"/>
  <c r="G87" i="8"/>
  <c r="G83" i="8"/>
  <c r="G79" i="8"/>
  <c r="G75" i="8"/>
  <c r="G130" i="8"/>
  <c r="G126" i="8"/>
  <c r="G122" i="8"/>
  <c r="G118" i="8"/>
  <c r="G114" i="8"/>
  <c r="G110" i="8"/>
  <c r="G106" i="8"/>
  <c r="G102" i="8"/>
  <c r="G98" i="8"/>
  <c r="G94" i="8"/>
  <c r="G90" i="8"/>
  <c r="G86" i="8"/>
  <c r="G82" i="8"/>
  <c r="G78" i="8"/>
  <c r="G74" i="8"/>
  <c r="G129" i="8"/>
  <c r="G125" i="8"/>
  <c r="G121" i="8"/>
  <c r="G117" i="8"/>
  <c r="G113" i="8"/>
  <c r="G109" i="8"/>
  <c r="G105" i="8"/>
  <c r="G101" i="8"/>
  <c r="G97" i="8"/>
  <c r="G93" i="8"/>
  <c r="G89" i="8"/>
  <c r="G85" i="8"/>
  <c r="G81" i="8"/>
  <c r="G77" i="8"/>
  <c r="G73" i="8"/>
  <c r="G132" i="8" s="1"/>
  <c r="S42" i="3"/>
  <c r="G16" i="6"/>
  <c r="O16" i="6"/>
  <c r="C16" i="6"/>
  <c r="M16" i="6"/>
  <c r="K16" i="6"/>
  <c r="I16" i="6"/>
  <c r="I30" i="20"/>
  <c r="I54" i="20" s="1"/>
  <c r="G40" i="6"/>
  <c r="I40" i="20" s="1"/>
  <c r="G32" i="6"/>
  <c r="G42" i="6"/>
  <c r="I42" i="20" s="1"/>
  <c r="G43" i="6"/>
  <c r="I43" i="20" s="1"/>
  <c r="G35" i="6"/>
  <c r="I35" i="20" s="1"/>
  <c r="G33" i="6"/>
  <c r="I33" i="20" s="1"/>
  <c r="G44" i="6"/>
  <c r="I44" i="20" s="1"/>
  <c r="G41" i="6"/>
  <c r="I41" i="20" s="1"/>
  <c r="G39" i="6"/>
  <c r="I39" i="20" s="1"/>
  <c r="G38" i="6"/>
  <c r="I38" i="20" s="1"/>
  <c r="G37" i="6"/>
  <c r="I37" i="20" s="1"/>
  <c r="G36" i="6"/>
  <c r="I36" i="20" s="1"/>
  <c r="G34" i="6"/>
  <c r="I34" i="20" s="1"/>
  <c r="H32" i="20"/>
  <c r="H45" i="20" s="1"/>
  <c r="F45" i="6"/>
  <c r="L14" i="20"/>
  <c r="J47" i="6"/>
  <c r="J27" i="6"/>
  <c r="L27" i="20" s="1"/>
  <c r="J53" i="6"/>
  <c r="L53" i="20" s="1"/>
  <c r="J25" i="6"/>
  <c r="J46" i="6"/>
  <c r="L46" i="20" s="1"/>
  <c r="J29" i="6"/>
  <c r="L29" i="20" s="1"/>
  <c r="J30" i="6"/>
  <c r="J28" i="6"/>
  <c r="L28" i="20" s="1"/>
  <c r="J26" i="6"/>
  <c r="L26" i="20" s="1"/>
  <c r="N16" i="20"/>
  <c r="L82" i="6"/>
  <c r="N82" i="20" s="1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N59" i="3"/>
  <c r="N61" i="3"/>
  <c r="N60" i="3"/>
  <c r="O105" i="3"/>
  <c r="G105" i="3"/>
  <c r="S105" i="3"/>
  <c r="H105" i="3"/>
  <c r="P105" i="3"/>
  <c r="F105" i="3"/>
  <c r="L105" i="3"/>
  <c r="K105" i="3"/>
  <c r="J105" i="3"/>
  <c r="I105" i="3"/>
  <c r="N105" i="3"/>
  <c r="M105" i="3"/>
  <c r="E105" i="3"/>
  <c r="I60" i="3"/>
  <c r="I59" i="3"/>
  <c r="I62" i="3" s="1"/>
  <c r="I61" i="3"/>
  <c r="E88" i="3"/>
  <c r="E94" i="3"/>
  <c r="S61" i="20"/>
  <c r="S67" i="20"/>
  <c r="R26" i="20"/>
  <c r="S26" i="20" s="1"/>
  <c r="R26" i="6"/>
  <c r="G60" i="8"/>
  <c r="G62" i="8" s="1"/>
  <c r="G61" i="8"/>
  <c r="B50" i="15"/>
  <c r="R35" i="3"/>
  <c r="S43" i="3"/>
  <c r="S44" i="3"/>
  <c r="D63" i="3"/>
  <c r="B108" i="17" s="1"/>
  <c r="C53" i="8"/>
  <c r="F47" i="17"/>
  <c r="E34" i="17"/>
  <c r="F48" i="17"/>
  <c r="J16" i="20"/>
  <c r="H82" i="6"/>
  <c r="J82" i="20" s="1"/>
  <c r="D5" i="20"/>
  <c r="H50" i="20"/>
  <c r="F51" i="6"/>
  <c r="G54" i="20"/>
  <c r="G16" i="20"/>
  <c r="E82" i="6"/>
  <c r="O14" i="20"/>
  <c r="M53" i="6"/>
  <c r="O53" i="20" s="1"/>
  <c r="M30" i="6"/>
  <c r="M28" i="6"/>
  <c r="O28" i="20" s="1"/>
  <c r="M25" i="6"/>
  <c r="M47" i="6"/>
  <c r="M29" i="6"/>
  <c r="O29" i="20" s="1"/>
  <c r="M26" i="6"/>
  <c r="O26" i="20" s="1"/>
  <c r="M46" i="6"/>
  <c r="O46" i="20" s="1"/>
  <c r="M27" i="6"/>
  <c r="O27" i="20" s="1"/>
  <c r="E55" i="3"/>
  <c r="B106" i="3"/>
  <c r="I8" i="20"/>
  <c r="P94" i="3"/>
  <c r="P88" i="3"/>
  <c r="I54" i="3"/>
  <c r="I52" i="3"/>
  <c r="I50" i="3"/>
  <c r="I48" i="3"/>
  <c r="I46" i="3"/>
  <c r="I44" i="3"/>
  <c r="I42" i="3"/>
  <c r="I53" i="3"/>
  <c r="I51" i="3"/>
  <c r="I49" i="3"/>
  <c r="I47" i="3"/>
  <c r="I45" i="3"/>
  <c r="I43" i="3"/>
  <c r="E65" i="3"/>
  <c r="B103" i="3"/>
  <c r="K60" i="3"/>
  <c r="K59" i="3"/>
  <c r="K62" i="3" s="1"/>
  <c r="K61" i="3"/>
  <c r="K55" i="3"/>
  <c r="M88" i="3"/>
  <c r="M94" i="3"/>
  <c r="R46" i="20"/>
  <c r="S46" i="20" s="1"/>
  <c r="R46" i="6"/>
  <c r="L15" i="6"/>
  <c r="J15" i="6"/>
  <c r="H15" i="6"/>
  <c r="P15" i="6"/>
  <c r="S45" i="3"/>
  <c r="S46" i="3"/>
  <c r="D64" i="3"/>
  <c r="G39" i="8"/>
  <c r="G20" i="8"/>
  <c r="C346" i="8"/>
  <c r="C342" i="8"/>
  <c r="C338" i="8"/>
  <c r="G266" i="8" s="1"/>
  <c r="F266" i="8" s="1"/>
  <c r="C334" i="8"/>
  <c r="G262" i="8" s="1"/>
  <c r="F262" i="8" s="1"/>
  <c r="C330" i="8"/>
  <c r="C326" i="8"/>
  <c r="C322" i="8"/>
  <c r="G250" i="8" s="1"/>
  <c r="F250" i="8" s="1"/>
  <c r="C318" i="8"/>
  <c r="C314" i="8"/>
  <c r="C310" i="8"/>
  <c r="C306" i="8"/>
  <c r="G234" i="8" s="1"/>
  <c r="F234" i="8" s="1"/>
  <c r="C302" i="8"/>
  <c r="G230" i="8" s="1"/>
  <c r="F230" i="8" s="1"/>
  <c r="C298" i="8"/>
  <c r="C294" i="8"/>
  <c r="C348" i="8"/>
  <c r="C344" i="8"/>
  <c r="G272" i="8" s="1"/>
  <c r="F272" i="8" s="1"/>
  <c r="C340" i="8"/>
  <c r="C336" i="8"/>
  <c r="C332" i="8"/>
  <c r="G260" i="8" s="1"/>
  <c r="F260" i="8" s="1"/>
  <c r="C328" i="8"/>
  <c r="G256" i="8" s="1"/>
  <c r="F256" i="8" s="1"/>
  <c r="C324" i="8"/>
  <c r="C343" i="8"/>
  <c r="C327" i="8"/>
  <c r="C315" i="8"/>
  <c r="C293" i="8"/>
  <c r="C341" i="8"/>
  <c r="C325" i="8"/>
  <c r="G253" i="8" s="1"/>
  <c r="F253" i="8" s="1"/>
  <c r="C313" i="8"/>
  <c r="G241" i="8" s="1"/>
  <c r="F241" i="8" s="1"/>
  <c r="C303" i="8"/>
  <c r="C292" i="8"/>
  <c r="C339" i="8"/>
  <c r="G267" i="8" s="1"/>
  <c r="F267" i="8" s="1"/>
  <c r="C323" i="8"/>
  <c r="C312" i="8"/>
  <c r="G240" i="8" s="1"/>
  <c r="F240" i="8" s="1"/>
  <c r="C301" i="8"/>
  <c r="C291" i="8"/>
  <c r="C337" i="8"/>
  <c r="G265" i="8" s="1"/>
  <c r="F265" i="8" s="1"/>
  <c r="C321" i="8"/>
  <c r="C311" i="8"/>
  <c r="C300" i="8"/>
  <c r="C335" i="8"/>
  <c r="C320" i="8"/>
  <c r="C309" i="8"/>
  <c r="C299" i="8"/>
  <c r="C349" i="8"/>
  <c r="G277" i="8" s="1"/>
  <c r="F277" i="8" s="1"/>
  <c r="C333" i="8"/>
  <c r="C319" i="8"/>
  <c r="C308" i="8"/>
  <c r="C297" i="8"/>
  <c r="C347" i="8"/>
  <c r="C331" i="8"/>
  <c r="C317" i="8"/>
  <c r="G245" i="8" s="1"/>
  <c r="F245" i="8" s="1"/>
  <c r="C307" i="8"/>
  <c r="G235" i="8" s="1"/>
  <c r="F235" i="8" s="1"/>
  <c r="C296" i="8"/>
  <c r="C345" i="8"/>
  <c r="C329" i="8"/>
  <c r="C316" i="8"/>
  <c r="C305" i="8"/>
  <c r="C295" i="8"/>
  <c r="C304" i="8"/>
  <c r="G30" i="8"/>
  <c r="C20" i="9" s="1"/>
  <c r="P65" i="3"/>
  <c r="O107" i="3"/>
  <c r="G107" i="3"/>
  <c r="M107" i="3"/>
  <c r="E107" i="3"/>
  <c r="S107" i="3"/>
  <c r="F107" i="3"/>
  <c r="P107" i="3"/>
  <c r="K107" i="3"/>
  <c r="J107" i="3"/>
  <c r="I107" i="3"/>
  <c r="H107" i="3"/>
  <c r="N107" i="3"/>
  <c r="L107" i="3"/>
  <c r="P59" i="3"/>
  <c r="P61" i="3"/>
  <c r="P60" i="3"/>
  <c r="S5" i="9"/>
  <c r="D14" i="3"/>
  <c r="D20" i="1" s="1"/>
  <c r="D24" i="1" s="1"/>
  <c r="S20" i="3"/>
  <c r="D20" i="3" s="1"/>
  <c r="J95" i="3"/>
  <c r="J92" i="3"/>
  <c r="J90" i="3"/>
  <c r="J91" i="3"/>
  <c r="F88" i="3"/>
  <c r="F94" i="3"/>
  <c r="O62" i="3"/>
  <c r="R47" i="20"/>
  <c r="S47" i="20" s="1"/>
  <c r="R47" i="6"/>
  <c r="G346" i="8"/>
  <c r="G342" i="8"/>
  <c r="G338" i="8"/>
  <c r="G334" i="8"/>
  <c r="G330" i="8"/>
  <c r="G326" i="8"/>
  <c r="G322" i="8"/>
  <c r="G318" i="8"/>
  <c r="G314" i="8"/>
  <c r="G310" i="8"/>
  <c r="G306" i="8"/>
  <c r="G302" i="8"/>
  <c r="G298" i="8"/>
  <c r="G294" i="8"/>
  <c r="G349" i="8"/>
  <c r="G345" i="8"/>
  <c r="G341" i="8"/>
  <c r="G337" i="8"/>
  <c r="G333" i="8"/>
  <c r="G329" i="8"/>
  <c r="G325" i="8"/>
  <c r="G321" i="8"/>
  <c r="G317" i="8"/>
  <c r="G313" i="8"/>
  <c r="G309" i="8"/>
  <c r="G305" i="8"/>
  <c r="G301" i="8"/>
  <c r="G297" i="8"/>
  <c r="G293" i="8"/>
  <c r="G348" i="8"/>
  <c r="G344" i="8"/>
  <c r="G340" i="8"/>
  <c r="G336" i="8"/>
  <c r="G332" i="8"/>
  <c r="G328" i="8"/>
  <c r="G324" i="8"/>
  <c r="G320" i="8"/>
  <c r="G316" i="8"/>
  <c r="G312" i="8"/>
  <c r="G308" i="8"/>
  <c r="G304" i="8"/>
  <c r="G300" i="8"/>
  <c r="G296" i="8"/>
  <c r="G292" i="8"/>
  <c r="G347" i="8"/>
  <c r="G343" i="8"/>
  <c r="G339" i="8"/>
  <c r="G335" i="8"/>
  <c r="G331" i="8"/>
  <c r="G327" i="8"/>
  <c r="G323" i="8"/>
  <c r="G319" i="8"/>
  <c r="G315" i="8"/>
  <c r="G311" i="8"/>
  <c r="G307" i="8"/>
  <c r="G303" i="8"/>
  <c r="G299" i="8"/>
  <c r="G295" i="8"/>
  <c r="G291" i="8"/>
  <c r="S47" i="3"/>
  <c r="S48" i="3"/>
  <c r="S19" i="6"/>
  <c r="J96" i="3"/>
  <c r="J82" i="3"/>
  <c r="J83" i="3"/>
  <c r="J84" i="3"/>
  <c r="E51" i="6"/>
  <c r="G51" i="20" s="1"/>
  <c r="L16" i="20"/>
  <c r="J82" i="6"/>
  <c r="L82" i="20" s="1"/>
  <c r="O102" i="3"/>
  <c r="G102" i="3"/>
  <c r="J102" i="3"/>
  <c r="I102" i="3"/>
  <c r="N102" i="3"/>
  <c r="E102" i="3"/>
  <c r="M102" i="3"/>
  <c r="L102" i="3"/>
  <c r="B108" i="3"/>
  <c r="K102" i="3"/>
  <c r="H102" i="3"/>
  <c r="F102" i="3"/>
  <c r="S102" i="3"/>
  <c r="P102" i="3"/>
  <c r="D59" i="6"/>
  <c r="D23" i="6"/>
  <c r="F61" i="3"/>
  <c r="F60" i="3"/>
  <c r="F59" i="3"/>
  <c r="I94" i="3"/>
  <c r="I88" i="3"/>
  <c r="H94" i="3"/>
  <c r="H88" i="3"/>
  <c r="K65" i="3"/>
  <c r="N88" i="3"/>
  <c r="N94" i="3"/>
  <c r="E62" i="3"/>
  <c r="F54" i="3"/>
  <c r="D54" i="3" s="1"/>
  <c r="B99" i="17" s="1"/>
  <c r="F52" i="3"/>
  <c r="F50" i="3"/>
  <c r="F48" i="3"/>
  <c r="F46" i="3"/>
  <c r="F44" i="3"/>
  <c r="F42" i="3"/>
  <c r="F53" i="3"/>
  <c r="F51" i="3"/>
  <c r="F49" i="3"/>
  <c r="F47" i="3"/>
  <c r="F45" i="3"/>
  <c r="F43" i="3"/>
  <c r="R28" i="20"/>
  <c r="S28" i="20" s="1"/>
  <c r="R28" i="6"/>
  <c r="D37" i="3"/>
  <c r="B82" i="17" s="1"/>
  <c r="S49" i="3"/>
  <c r="S50" i="3"/>
  <c r="B7" i="9"/>
  <c r="C22" i="1"/>
  <c r="B16" i="3"/>
  <c r="C207" i="15"/>
  <c r="H15" i="20"/>
  <c r="H17" i="20" s="1"/>
  <c r="F67" i="6"/>
  <c r="F61" i="6"/>
  <c r="F17" i="6"/>
  <c r="M82" i="3"/>
  <c r="M96" i="3"/>
  <c r="M83" i="3"/>
  <c r="M84" i="3"/>
  <c r="G15" i="20"/>
  <c r="E61" i="6"/>
  <c r="E67" i="6"/>
  <c r="E17" i="6"/>
  <c r="K96" i="3"/>
  <c r="K83" i="3"/>
  <c r="K84" i="3"/>
  <c r="K82" i="3"/>
  <c r="O65" i="3"/>
  <c r="G85" i="3"/>
  <c r="L65" i="3"/>
  <c r="I65" i="3"/>
  <c r="G94" i="3"/>
  <c r="G88" i="3"/>
  <c r="R25" i="20"/>
  <c r="F50" i="15"/>
  <c r="R25" i="6"/>
  <c r="S51" i="3"/>
  <c r="S52" i="3"/>
  <c r="B5" i="9"/>
  <c r="C20" i="1"/>
  <c r="B14" i="3"/>
  <c r="B20" i="3" s="1"/>
  <c r="C33" i="8"/>
  <c r="C86" i="3"/>
  <c r="C80" i="3"/>
  <c r="I49" i="20"/>
  <c r="G51" i="6"/>
  <c r="I51" i="20" s="1"/>
  <c r="G54" i="6"/>
  <c r="P47" i="6"/>
  <c r="P30" i="6"/>
  <c r="P29" i="6"/>
  <c r="P27" i="6"/>
  <c r="P28" i="6"/>
  <c r="P26" i="6"/>
  <c r="P53" i="6"/>
  <c r="P46" i="6"/>
  <c r="P17" i="6"/>
  <c r="P25" i="6"/>
  <c r="H8" i="20"/>
  <c r="P16" i="20"/>
  <c r="N82" i="6"/>
  <c r="P82" i="20" s="1"/>
  <c r="E96" i="3"/>
  <c r="E82" i="3"/>
  <c r="E83" i="3"/>
  <c r="E84" i="3"/>
  <c r="F54" i="6"/>
  <c r="H59" i="3"/>
  <c r="H60" i="3"/>
  <c r="H61" i="3"/>
  <c r="H55" i="3"/>
  <c r="C60" i="3"/>
  <c r="C59" i="3"/>
  <c r="C61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55" i="3" s="1"/>
  <c r="F65" i="3"/>
  <c r="P55" i="3"/>
  <c r="P96" i="3"/>
  <c r="C65" i="3"/>
  <c r="I85" i="3"/>
  <c r="S5" i="20"/>
  <c r="S8" i="20" s="1"/>
  <c r="S5" i="6"/>
  <c r="S8" i="3"/>
  <c r="D5" i="3"/>
  <c r="D9" i="1" s="1"/>
  <c r="D12" i="1" s="1"/>
  <c r="D27" i="1" s="1"/>
  <c r="D43" i="1" s="1"/>
  <c r="O94" i="3"/>
  <c r="O88" i="3"/>
  <c r="S21" i="20"/>
  <c r="S21" i="6"/>
  <c r="D86" i="3"/>
  <c r="S94" i="3"/>
  <c r="D94" i="3" s="1"/>
  <c r="S88" i="3"/>
  <c r="R27" i="20"/>
  <c r="S27" i="20" s="1"/>
  <c r="R27" i="6"/>
  <c r="L62" i="3"/>
  <c r="D36" i="3"/>
  <c r="B81" i="17" s="1"/>
  <c r="B104" i="3"/>
  <c r="C17" i="9"/>
  <c r="G33" i="8"/>
  <c r="S53" i="3"/>
  <c r="C61" i="8"/>
  <c r="C60" i="8"/>
  <c r="C62" i="8" s="1"/>
  <c r="C14" i="6"/>
  <c r="N14" i="6"/>
  <c r="L14" i="6"/>
  <c r="K14" i="6"/>
  <c r="I14" i="6"/>
  <c r="C6" i="20"/>
  <c r="C8" i="20" s="1"/>
  <c r="C8" i="6"/>
  <c r="C15" i="6"/>
  <c r="G227" i="8" l="1"/>
  <c r="F227" i="8" s="1"/>
  <c r="C14" i="20"/>
  <c r="C30" i="6"/>
  <c r="C25" i="6"/>
  <c r="C21" i="6"/>
  <c r="C28" i="6"/>
  <c r="C28" i="20" s="1"/>
  <c r="C47" i="6"/>
  <c r="C27" i="6"/>
  <c r="C27" i="20" s="1"/>
  <c r="C17" i="6"/>
  <c r="C46" i="6"/>
  <c r="C46" i="20" s="1"/>
  <c r="C26" i="6"/>
  <c r="C26" i="20" s="1"/>
  <c r="C29" i="6"/>
  <c r="C29" i="20" s="1"/>
  <c r="C53" i="6"/>
  <c r="C53" i="20" s="1"/>
  <c r="P54" i="6"/>
  <c r="P41" i="6"/>
  <c r="P33" i="6"/>
  <c r="P43" i="6"/>
  <c r="P35" i="6"/>
  <c r="P36" i="6"/>
  <c r="P38" i="6"/>
  <c r="P32" i="6"/>
  <c r="P34" i="6"/>
  <c r="P44" i="6"/>
  <c r="P42" i="6"/>
  <c r="P40" i="6"/>
  <c r="P39" i="6"/>
  <c r="P37" i="6"/>
  <c r="K85" i="3"/>
  <c r="I91" i="3"/>
  <c r="I92" i="3"/>
  <c r="I95" i="3"/>
  <c r="I90" i="3"/>
  <c r="D47" i="3"/>
  <c r="B92" i="17" s="1"/>
  <c r="S17" i="9"/>
  <c r="D5" i="9"/>
  <c r="S11" i="9"/>
  <c r="D11" i="9" s="1"/>
  <c r="G244" i="8"/>
  <c r="F244" i="8" s="1"/>
  <c r="G225" i="8"/>
  <c r="F225" i="8" s="1"/>
  <c r="G263" i="8"/>
  <c r="F263" i="8" s="1"/>
  <c r="G251" i="8"/>
  <c r="F251" i="8" s="1"/>
  <c r="G243" i="8"/>
  <c r="F243" i="8" s="1"/>
  <c r="G246" i="8"/>
  <c r="F246" i="8" s="1"/>
  <c r="J15" i="20"/>
  <c r="H61" i="6"/>
  <c r="H67" i="6"/>
  <c r="N62" i="3"/>
  <c r="I32" i="20"/>
  <c r="I45" i="20" s="1"/>
  <c r="G45" i="6"/>
  <c r="O82" i="6"/>
  <c r="O15" i="6"/>
  <c r="L85" i="3"/>
  <c r="G32" i="20"/>
  <c r="E45" i="6"/>
  <c r="D82" i="3"/>
  <c r="S85" i="3"/>
  <c r="H17" i="6"/>
  <c r="E52" i="6"/>
  <c r="S44" i="20"/>
  <c r="S95" i="3"/>
  <c r="D88" i="3"/>
  <c r="D95" i="3" s="1"/>
  <c r="S91" i="3"/>
  <c r="S92" i="3"/>
  <c r="S90" i="3"/>
  <c r="D52" i="3"/>
  <c r="B97" i="17" s="1"/>
  <c r="D51" i="3"/>
  <c r="B96" i="17" s="1"/>
  <c r="O92" i="3"/>
  <c r="O90" i="3"/>
  <c r="O91" i="3"/>
  <c r="O95" i="3"/>
  <c r="P50" i="6"/>
  <c r="P49" i="6"/>
  <c r="P51" i="6"/>
  <c r="R54" i="20"/>
  <c r="F91" i="3"/>
  <c r="F92" i="3"/>
  <c r="F90" i="3"/>
  <c r="F95" i="3"/>
  <c r="G257" i="8"/>
  <c r="F257" i="8" s="1"/>
  <c r="G236" i="8"/>
  <c r="F236" i="8" s="1"/>
  <c r="G228" i="8"/>
  <c r="F228" i="8" s="1"/>
  <c r="G255" i="8"/>
  <c r="F255" i="8" s="1"/>
  <c r="G276" i="8"/>
  <c r="F276" i="8" s="1"/>
  <c r="G49" i="8"/>
  <c r="G45" i="8"/>
  <c r="G52" i="8"/>
  <c r="G48" i="8"/>
  <c r="G44" i="8"/>
  <c r="G51" i="8"/>
  <c r="G47" i="8"/>
  <c r="G43" i="8"/>
  <c r="G50" i="8"/>
  <c r="G46" i="8"/>
  <c r="L15" i="20"/>
  <c r="J67" i="6"/>
  <c r="J61" i="6"/>
  <c r="D44" i="3"/>
  <c r="B89" i="17" s="1"/>
  <c r="D105" i="3"/>
  <c r="O55" i="3"/>
  <c r="L47" i="20"/>
  <c r="J50" i="6"/>
  <c r="L50" i="20" s="1"/>
  <c r="J49" i="6"/>
  <c r="I16" i="20"/>
  <c r="G82" i="6"/>
  <c r="I82" i="20" s="1"/>
  <c r="G15" i="6"/>
  <c r="M62" i="3"/>
  <c r="B7" i="20"/>
  <c r="C11" i="1"/>
  <c r="B7" i="6"/>
  <c r="B7" i="3"/>
  <c r="S49" i="6"/>
  <c r="S52" i="6"/>
  <c r="S51" i="6"/>
  <c r="S48" i="6"/>
  <c r="S50" i="6"/>
  <c r="G52" i="20"/>
  <c r="S36" i="20"/>
  <c r="S35" i="20"/>
  <c r="C15" i="20"/>
  <c r="C57" i="20" s="1"/>
  <c r="C57" i="6"/>
  <c r="C62" i="3"/>
  <c r="C24" i="1"/>
  <c r="G92" i="3"/>
  <c r="G95" i="3"/>
  <c r="G90" i="3"/>
  <c r="G93" i="3" s="1"/>
  <c r="G91" i="3"/>
  <c r="F62" i="3"/>
  <c r="G350" i="8"/>
  <c r="G273" i="8"/>
  <c r="F273" i="8" s="1"/>
  <c r="G247" i="8"/>
  <c r="F247" i="8" s="1"/>
  <c r="G239" i="8"/>
  <c r="F239" i="8" s="1"/>
  <c r="G220" i="8"/>
  <c r="F220" i="8" s="1"/>
  <c r="G271" i="8"/>
  <c r="F271" i="8" s="1"/>
  <c r="G222" i="8"/>
  <c r="F222" i="8" s="1"/>
  <c r="G254" i="8"/>
  <c r="F254" i="8" s="1"/>
  <c r="N15" i="20"/>
  <c r="L67" i="6"/>
  <c r="L61" i="6"/>
  <c r="P95" i="3"/>
  <c r="P90" i="3"/>
  <c r="P91" i="3"/>
  <c r="P92" i="3"/>
  <c r="G82" i="20"/>
  <c r="D43" i="3"/>
  <c r="B88" i="17" s="1"/>
  <c r="L30" i="20"/>
  <c r="J43" i="6"/>
  <c r="L43" i="20" s="1"/>
  <c r="J35" i="6"/>
  <c r="L35" i="20" s="1"/>
  <c r="J37" i="6"/>
  <c r="L37" i="20" s="1"/>
  <c r="J40" i="6"/>
  <c r="L40" i="20" s="1"/>
  <c r="J42" i="6"/>
  <c r="L42" i="20" s="1"/>
  <c r="J33" i="6"/>
  <c r="L33" i="20" s="1"/>
  <c r="J41" i="6"/>
  <c r="L41" i="20" s="1"/>
  <c r="J39" i="6"/>
  <c r="L39" i="20" s="1"/>
  <c r="J32" i="6"/>
  <c r="J38" i="6"/>
  <c r="L38" i="20" s="1"/>
  <c r="J36" i="6"/>
  <c r="L36" i="20" s="1"/>
  <c r="J34" i="6"/>
  <c r="L34" i="20" s="1"/>
  <c r="J44" i="6"/>
  <c r="L44" i="20" s="1"/>
  <c r="L17" i="20"/>
  <c r="D42" i="3"/>
  <c r="B87" i="17" s="1"/>
  <c r="S55" i="3"/>
  <c r="S67" i="6"/>
  <c r="S61" i="6"/>
  <c r="O40" i="6"/>
  <c r="O32" i="6"/>
  <c r="O42" i="6"/>
  <c r="O44" i="6"/>
  <c r="O39" i="6"/>
  <c r="O34" i="6"/>
  <c r="O43" i="6"/>
  <c r="O37" i="6"/>
  <c r="O36" i="6"/>
  <c r="O35" i="6"/>
  <c r="O33" i="6"/>
  <c r="O41" i="6"/>
  <c r="O38" i="6"/>
  <c r="D30" i="8"/>
  <c r="G23" i="1" s="1"/>
  <c r="E23" i="1" s="1"/>
  <c r="F23" i="1" s="1"/>
  <c r="D28" i="8"/>
  <c r="G21" i="1" s="1"/>
  <c r="D29" i="8"/>
  <c r="G22" i="1" s="1"/>
  <c r="D27" i="8"/>
  <c r="D13" i="8"/>
  <c r="G11" i="1" s="1"/>
  <c r="D11" i="8"/>
  <c r="C23" i="8"/>
  <c r="E16" i="1" s="1"/>
  <c r="D12" i="8"/>
  <c r="G10" i="1" s="1"/>
  <c r="S50" i="20"/>
  <c r="S52" i="20"/>
  <c r="S51" i="20"/>
  <c r="S48" i="20"/>
  <c r="S49" i="20"/>
  <c r="D61" i="3"/>
  <c r="B106" i="17" s="1"/>
  <c r="S42" i="20"/>
  <c r="S43" i="20"/>
  <c r="S30" i="20"/>
  <c r="K14" i="20"/>
  <c r="I53" i="6"/>
  <c r="K53" i="20" s="1"/>
  <c r="I46" i="6"/>
  <c r="K46" i="20" s="1"/>
  <c r="D46" i="20" s="1"/>
  <c r="I28" i="6"/>
  <c r="K28" i="20" s="1"/>
  <c r="I26" i="6"/>
  <c r="K26" i="20" s="1"/>
  <c r="I29" i="6"/>
  <c r="K29" i="20" s="1"/>
  <c r="I27" i="6"/>
  <c r="K27" i="20" s="1"/>
  <c r="D27" i="20" s="1"/>
  <c r="I17" i="6"/>
  <c r="I30" i="6"/>
  <c r="I25" i="6"/>
  <c r="I47" i="6"/>
  <c r="M14" i="20"/>
  <c r="K53" i="6"/>
  <c r="M53" i="20" s="1"/>
  <c r="K46" i="6"/>
  <c r="M46" i="20" s="1"/>
  <c r="K26" i="6"/>
  <c r="M26" i="20" s="1"/>
  <c r="D26" i="20" s="1"/>
  <c r="K27" i="6"/>
  <c r="M27" i="20" s="1"/>
  <c r="K30" i="6"/>
  <c r="K25" i="6"/>
  <c r="K28" i="6"/>
  <c r="M28" i="20" s="1"/>
  <c r="K47" i="6"/>
  <c r="K29" i="6"/>
  <c r="M29" i="20" s="1"/>
  <c r="G67" i="20"/>
  <c r="E69" i="6"/>
  <c r="E75" i="6"/>
  <c r="D53" i="3"/>
  <c r="B98" i="17" s="1"/>
  <c r="D41" i="1"/>
  <c r="E41" i="1" s="1"/>
  <c r="D33" i="1"/>
  <c r="E33" i="1" s="1"/>
  <c r="D37" i="1"/>
  <c r="E37" i="1" s="1"/>
  <c r="E21" i="1"/>
  <c r="F21" i="1" s="1"/>
  <c r="D39" i="1"/>
  <c r="E39" i="1" s="1"/>
  <c r="D31" i="1"/>
  <c r="E31" i="1" s="1"/>
  <c r="D42" i="1"/>
  <c r="E42" i="1" s="1"/>
  <c r="D36" i="1"/>
  <c r="E36" i="1" s="1"/>
  <c r="D32" i="1"/>
  <c r="E32" i="1" s="1"/>
  <c r="E22" i="1"/>
  <c r="F22" i="1" s="1"/>
  <c r="D40" i="1"/>
  <c r="E40" i="1" s="1"/>
  <c r="D35" i="1"/>
  <c r="E35" i="1" s="1"/>
  <c r="E10" i="1"/>
  <c r="F10" i="1" s="1"/>
  <c r="D38" i="1"/>
  <c r="E38" i="1" s="1"/>
  <c r="D34" i="1"/>
  <c r="E34" i="1" s="1"/>
  <c r="E85" i="3"/>
  <c r="G52" i="6"/>
  <c r="B11" i="9"/>
  <c r="M85" i="3"/>
  <c r="F55" i="3"/>
  <c r="J85" i="3"/>
  <c r="J93" i="3"/>
  <c r="P62" i="3"/>
  <c r="G224" i="8"/>
  <c r="F224" i="8" s="1"/>
  <c r="G261" i="8"/>
  <c r="F261" i="8" s="1"/>
  <c r="G249" i="8"/>
  <c r="F249" i="8" s="1"/>
  <c r="G231" i="8"/>
  <c r="F231" i="8" s="1"/>
  <c r="G252" i="8"/>
  <c r="F252" i="8" s="1"/>
  <c r="G226" i="8"/>
  <c r="F226" i="8" s="1"/>
  <c r="G258" i="8"/>
  <c r="F258" i="8" s="1"/>
  <c r="O103" i="3"/>
  <c r="O108" i="3" s="1"/>
  <c r="G103" i="3"/>
  <c r="G108" i="3" s="1"/>
  <c r="L103" i="3"/>
  <c r="K103" i="3"/>
  <c r="K108" i="3" s="1"/>
  <c r="S103" i="3"/>
  <c r="H103" i="3"/>
  <c r="P103" i="3"/>
  <c r="F103" i="3"/>
  <c r="F108" i="3" s="1"/>
  <c r="N103" i="3"/>
  <c r="N108" i="3" s="1"/>
  <c r="E103" i="3"/>
  <c r="D103" i="3" s="1"/>
  <c r="M103" i="3"/>
  <c r="J103" i="3"/>
  <c r="J108" i="3" s="1"/>
  <c r="I103" i="3"/>
  <c r="I108" i="3" s="1"/>
  <c r="I55" i="3"/>
  <c r="O47" i="20"/>
  <c r="M49" i="6"/>
  <c r="M51" i="6" s="1"/>
  <c r="O51" i="20" s="1"/>
  <c r="M50" i="6"/>
  <c r="O50" i="20" s="1"/>
  <c r="F34" i="17"/>
  <c r="E35" i="17"/>
  <c r="F33" i="17" s="1"/>
  <c r="S63" i="20"/>
  <c r="S66" i="20" s="1"/>
  <c r="S64" i="20"/>
  <c r="S65" i="20"/>
  <c r="S77" i="20"/>
  <c r="J17" i="6"/>
  <c r="D6" i="9"/>
  <c r="S18" i="9"/>
  <c r="D18" i="9" s="1"/>
  <c r="P61" i="20"/>
  <c r="P77" i="20" s="1"/>
  <c r="N77" i="6"/>
  <c r="N64" i="6"/>
  <c r="P64" i="20" s="1"/>
  <c r="N65" i="6"/>
  <c r="P65" i="20" s="1"/>
  <c r="N63" i="6"/>
  <c r="K92" i="3"/>
  <c r="K95" i="3"/>
  <c r="K90" i="3"/>
  <c r="K91" i="3"/>
  <c r="C55" i="3"/>
  <c r="D59" i="3"/>
  <c r="B104" i="17" s="1"/>
  <c r="S62" i="3"/>
  <c r="D62" i="3" s="1"/>
  <c r="B107" i="17" s="1"/>
  <c r="S34" i="20"/>
  <c r="S32" i="20"/>
  <c r="S39" i="20"/>
  <c r="S22" i="3"/>
  <c r="D8" i="3"/>
  <c r="D22" i="3" s="1"/>
  <c r="N91" i="3"/>
  <c r="N92" i="3"/>
  <c r="N90" i="3"/>
  <c r="N95" i="3"/>
  <c r="D46" i="3"/>
  <c r="B91" i="17" s="1"/>
  <c r="O25" i="20"/>
  <c r="M54" i="6"/>
  <c r="R65" i="3"/>
  <c r="S35" i="3"/>
  <c r="K16" i="20"/>
  <c r="D16" i="20" s="1"/>
  <c r="I82" i="6"/>
  <c r="K82" i="20" s="1"/>
  <c r="I15" i="6"/>
  <c r="S19" i="9"/>
  <c r="D19" i="9" s="1"/>
  <c r="D7" i="9"/>
  <c r="P67" i="20"/>
  <c r="N75" i="6"/>
  <c r="P75" i="20" s="1"/>
  <c r="N69" i="6"/>
  <c r="B5" i="20"/>
  <c r="C9" i="1"/>
  <c r="C12" i="1" s="1"/>
  <c r="B5" i="6"/>
  <c r="B8" i="6" s="1"/>
  <c r="B5" i="3"/>
  <c r="B8" i="3" s="1"/>
  <c r="C20" i="8"/>
  <c r="S41" i="20"/>
  <c r="S40" i="20"/>
  <c r="S38" i="20"/>
  <c r="D107" i="3"/>
  <c r="G232" i="8"/>
  <c r="F232" i="8" s="1"/>
  <c r="C350" i="8"/>
  <c r="G219" i="8"/>
  <c r="O106" i="3"/>
  <c r="G106" i="3"/>
  <c r="M106" i="3"/>
  <c r="E106" i="3"/>
  <c r="K106" i="3"/>
  <c r="J106" i="3"/>
  <c r="S106" i="3"/>
  <c r="F106" i="3"/>
  <c r="P106" i="3"/>
  <c r="N106" i="3"/>
  <c r="L106" i="3"/>
  <c r="H106" i="3"/>
  <c r="I106" i="3"/>
  <c r="H51" i="20"/>
  <c r="H52" i="20" s="1"/>
  <c r="F52" i="6"/>
  <c r="E90" i="3"/>
  <c r="E93" i="3" s="1"/>
  <c r="E91" i="3"/>
  <c r="E95" i="3"/>
  <c r="E92" i="3"/>
  <c r="M16" i="20"/>
  <c r="K82" i="6"/>
  <c r="M82" i="20" s="1"/>
  <c r="K15" i="6"/>
  <c r="K17" i="6" s="1"/>
  <c r="O49" i="6"/>
  <c r="O51" i="6"/>
  <c r="O50" i="6"/>
  <c r="D40" i="3"/>
  <c r="B85" i="17" s="1"/>
  <c r="D84" i="3"/>
  <c r="J25" i="20"/>
  <c r="H54" i="6"/>
  <c r="J47" i="20"/>
  <c r="H50" i="6"/>
  <c r="J50" i="20" s="1"/>
  <c r="H49" i="6"/>
  <c r="D60" i="3"/>
  <c r="B105" i="17" s="1"/>
  <c r="F105" i="17" s="1"/>
  <c r="S33" i="20"/>
  <c r="S25" i="20"/>
  <c r="C23" i="9"/>
  <c r="I52" i="20"/>
  <c r="D45" i="3"/>
  <c r="B90" i="17" s="1"/>
  <c r="N14" i="20"/>
  <c r="N17" i="20" s="1"/>
  <c r="L25" i="6"/>
  <c r="L53" i="6"/>
  <c r="N53" i="20" s="1"/>
  <c r="L46" i="6"/>
  <c r="N46" i="20" s="1"/>
  <c r="L27" i="6"/>
  <c r="N27" i="20" s="1"/>
  <c r="L17" i="6"/>
  <c r="L30" i="6"/>
  <c r="L28" i="6"/>
  <c r="N28" i="20" s="1"/>
  <c r="L47" i="6"/>
  <c r="L29" i="6"/>
  <c r="N29" i="20" s="1"/>
  <c r="D29" i="20" s="1"/>
  <c r="L26" i="6"/>
  <c r="N26" i="20" s="1"/>
  <c r="O104" i="3"/>
  <c r="G104" i="3"/>
  <c r="N104" i="3"/>
  <c r="E104" i="3"/>
  <c r="M104" i="3"/>
  <c r="J104" i="3"/>
  <c r="I104" i="3"/>
  <c r="S104" i="3"/>
  <c r="S108" i="3" s="1"/>
  <c r="H104" i="3"/>
  <c r="H108" i="3" s="1"/>
  <c r="P104" i="3"/>
  <c r="F104" i="3"/>
  <c r="K104" i="3"/>
  <c r="L104" i="3"/>
  <c r="L108" i="3" s="1"/>
  <c r="D8" i="20"/>
  <c r="C83" i="3"/>
  <c r="C84" i="3"/>
  <c r="C96" i="3"/>
  <c r="C82" i="3"/>
  <c r="G61" i="20"/>
  <c r="E63" i="6"/>
  <c r="E65" i="6"/>
  <c r="G65" i="20" s="1"/>
  <c r="E64" i="6"/>
  <c r="G64" i="20" s="1"/>
  <c r="E77" i="6"/>
  <c r="H67" i="20"/>
  <c r="F75" i="6"/>
  <c r="H75" i="20" s="1"/>
  <c r="F69" i="6"/>
  <c r="D50" i="3"/>
  <c r="B95" i="17" s="1"/>
  <c r="H95" i="3"/>
  <c r="H90" i="3"/>
  <c r="H91" i="3"/>
  <c r="H92" i="3"/>
  <c r="M108" i="3"/>
  <c r="S47" i="6"/>
  <c r="S42" i="6"/>
  <c r="S34" i="6"/>
  <c r="S44" i="6"/>
  <c r="S36" i="6"/>
  <c r="S41" i="6"/>
  <c r="S27" i="6"/>
  <c r="S25" i="6"/>
  <c r="S53" i="6"/>
  <c r="S26" i="6"/>
  <c r="S14" i="6"/>
  <c r="S33" i="6"/>
  <c r="S29" i="6"/>
  <c r="S43" i="6"/>
  <c r="S32" i="6"/>
  <c r="S46" i="6"/>
  <c r="D46" i="6" s="1"/>
  <c r="B138" i="17" s="1"/>
  <c r="S40" i="6"/>
  <c r="S39" i="6"/>
  <c r="S38" i="6"/>
  <c r="S37" i="6"/>
  <c r="S30" i="6"/>
  <c r="S35" i="6"/>
  <c r="S28" i="6"/>
  <c r="G223" i="8"/>
  <c r="F223" i="8" s="1"/>
  <c r="G259" i="8"/>
  <c r="F259" i="8" s="1"/>
  <c r="F30" i="8" s="1"/>
  <c r="B20" i="9" s="1"/>
  <c r="G237" i="8"/>
  <c r="F237" i="8" s="1"/>
  <c r="G229" i="8"/>
  <c r="F229" i="8" s="1"/>
  <c r="G269" i="8"/>
  <c r="F269" i="8" s="1"/>
  <c r="G264" i="8"/>
  <c r="F264" i="8" s="1"/>
  <c r="G238" i="8"/>
  <c r="F238" i="8" s="1"/>
  <c r="G270" i="8"/>
  <c r="F270" i="8" s="1"/>
  <c r="M90" i="3"/>
  <c r="M93" i="3" s="1"/>
  <c r="M91" i="3"/>
  <c r="M95" i="3"/>
  <c r="M92" i="3"/>
  <c r="L25" i="20"/>
  <c r="L54" i="20" s="1"/>
  <c r="J54" i="6"/>
  <c r="O16" i="20"/>
  <c r="M82" i="6"/>
  <c r="O82" i="20" s="1"/>
  <c r="M15" i="6"/>
  <c r="L90" i="3"/>
  <c r="L95" i="3"/>
  <c r="L91" i="3"/>
  <c r="L92" i="3"/>
  <c r="O54" i="6"/>
  <c r="D83" i="3"/>
  <c r="S9" i="9"/>
  <c r="D9" i="9" s="1"/>
  <c r="S22" i="9"/>
  <c r="D22" i="9" s="1"/>
  <c r="D8" i="9"/>
  <c r="S21" i="9"/>
  <c r="D21" i="9" s="1"/>
  <c r="S10" i="9"/>
  <c r="D10" i="9" s="1"/>
  <c r="J30" i="20"/>
  <c r="H41" i="6"/>
  <c r="J41" i="20" s="1"/>
  <c r="H33" i="6"/>
  <c r="J33" i="20" s="1"/>
  <c r="H43" i="6"/>
  <c r="J43" i="20" s="1"/>
  <c r="H35" i="6"/>
  <c r="J35" i="20" s="1"/>
  <c r="H38" i="6"/>
  <c r="J38" i="20" s="1"/>
  <c r="H40" i="6"/>
  <c r="J40" i="20" s="1"/>
  <c r="H44" i="6"/>
  <c r="J44" i="20" s="1"/>
  <c r="H42" i="6"/>
  <c r="J42" i="20" s="1"/>
  <c r="H32" i="6"/>
  <c r="H39" i="6"/>
  <c r="J39" i="20" s="1"/>
  <c r="H37" i="6"/>
  <c r="J37" i="20" s="1"/>
  <c r="H36" i="6"/>
  <c r="J36" i="20" s="1"/>
  <c r="H34" i="6"/>
  <c r="J34" i="20" s="1"/>
  <c r="J17" i="20"/>
  <c r="S14" i="20"/>
  <c r="S17" i="20" s="1"/>
  <c r="S8" i="6"/>
  <c r="D8" i="6" s="1"/>
  <c r="D5" i="6"/>
  <c r="H61" i="20"/>
  <c r="H77" i="20" s="1"/>
  <c r="F77" i="6"/>
  <c r="F64" i="6"/>
  <c r="H64" i="20" s="1"/>
  <c r="F63" i="6"/>
  <c r="F65" i="6"/>
  <c r="H65" i="20" s="1"/>
  <c r="P14" i="20"/>
  <c r="P17" i="20" s="1"/>
  <c r="N53" i="6"/>
  <c r="P53" i="20" s="1"/>
  <c r="N46" i="6"/>
  <c r="P46" i="20" s="1"/>
  <c r="N47" i="6"/>
  <c r="N29" i="6"/>
  <c r="P29" i="20" s="1"/>
  <c r="N30" i="6"/>
  <c r="N28" i="6"/>
  <c r="P28" i="20" s="1"/>
  <c r="D28" i="20" s="1"/>
  <c r="N25" i="6"/>
  <c r="N26" i="6"/>
  <c r="P26" i="20" s="1"/>
  <c r="N27" i="6"/>
  <c r="P27" i="20" s="1"/>
  <c r="N17" i="6"/>
  <c r="H62" i="3"/>
  <c r="C88" i="3"/>
  <c r="C94" i="3"/>
  <c r="R54" i="6"/>
  <c r="G17" i="20"/>
  <c r="D49" i="3"/>
  <c r="B94" i="17" s="1"/>
  <c r="P108" i="3"/>
  <c r="D102" i="3"/>
  <c r="D48" i="3"/>
  <c r="B93" i="17" s="1"/>
  <c r="G233" i="8"/>
  <c r="F233" i="8" s="1"/>
  <c r="G275" i="8"/>
  <c r="F275" i="8" s="1"/>
  <c r="G248" i="8"/>
  <c r="F248" i="8" s="1"/>
  <c r="G221" i="8"/>
  <c r="F221" i="8" s="1"/>
  <c r="G268" i="8"/>
  <c r="F268" i="8" s="1"/>
  <c r="G242" i="8"/>
  <c r="F242" i="8" s="1"/>
  <c r="G274" i="8"/>
  <c r="F274" i="8" s="1"/>
  <c r="P61" i="6"/>
  <c r="P67" i="6"/>
  <c r="O30" i="20"/>
  <c r="M38" i="6"/>
  <c r="O38" i="20" s="1"/>
  <c r="M40" i="6"/>
  <c r="O40" i="20" s="1"/>
  <c r="M37" i="6"/>
  <c r="O37" i="20" s="1"/>
  <c r="M41" i="6"/>
  <c r="O41" i="20" s="1"/>
  <c r="M34" i="6"/>
  <c r="O34" i="20" s="1"/>
  <c r="M39" i="6"/>
  <c r="O39" i="20" s="1"/>
  <c r="M36" i="6"/>
  <c r="O36" i="20" s="1"/>
  <c r="M35" i="6"/>
  <c r="O35" i="20" s="1"/>
  <c r="M33" i="6"/>
  <c r="O33" i="20" s="1"/>
  <c r="M44" i="6"/>
  <c r="O44" i="20" s="1"/>
  <c r="M43" i="6"/>
  <c r="O43" i="20" s="1"/>
  <c r="M32" i="6"/>
  <c r="M42" i="6"/>
  <c r="O42" i="20" s="1"/>
  <c r="C16" i="20"/>
  <c r="C80" i="20" s="1"/>
  <c r="C80" i="6"/>
  <c r="C82" i="6" s="1"/>
  <c r="C82" i="20" s="1"/>
  <c r="C43" i="1"/>
  <c r="D96" i="3"/>
  <c r="N55" i="3"/>
  <c r="D53" i="20"/>
  <c r="D16" i="6"/>
  <c r="H93" i="3" l="1"/>
  <c r="L93" i="3"/>
  <c r="D26" i="6"/>
  <c r="B118" i="17" s="1"/>
  <c r="G77" i="20"/>
  <c r="G9" i="1"/>
  <c r="D20" i="8"/>
  <c r="I15" i="20"/>
  <c r="G67" i="6"/>
  <c r="G61" i="6"/>
  <c r="G17" i="6"/>
  <c r="O67" i="6"/>
  <c r="O61" i="6"/>
  <c r="O17" i="6"/>
  <c r="D17" i="9"/>
  <c r="O32" i="20"/>
  <c r="O45" i="20" s="1"/>
  <c r="M45" i="6"/>
  <c r="J32" i="20"/>
  <c r="J45" i="20" s="1"/>
  <c r="H45" i="6"/>
  <c r="O15" i="20"/>
  <c r="O17" i="20" s="1"/>
  <c r="M61" i="6"/>
  <c r="M67" i="6"/>
  <c r="M17" i="6"/>
  <c r="K20" i="9"/>
  <c r="K23" i="9" s="1"/>
  <c r="P20" i="9"/>
  <c r="P23" i="9" s="1"/>
  <c r="M20" i="9"/>
  <c r="M23" i="9" s="1"/>
  <c r="N20" i="9"/>
  <c r="N23" i="9" s="1"/>
  <c r="J20" i="9"/>
  <c r="J23" i="9" s="1"/>
  <c r="L20" i="9"/>
  <c r="L23" i="9" s="1"/>
  <c r="H20" i="9"/>
  <c r="H23" i="9" s="1"/>
  <c r="I20" i="9"/>
  <c r="I23" i="9" s="1"/>
  <c r="G20" i="9"/>
  <c r="G23" i="9" s="1"/>
  <c r="O20" i="9"/>
  <c r="O23" i="9" s="1"/>
  <c r="E20" i="9"/>
  <c r="E23" i="9" s="1"/>
  <c r="F20" i="9"/>
  <c r="F23" i="9" s="1"/>
  <c r="D53" i="6"/>
  <c r="B145" i="17" s="1"/>
  <c r="D47" i="6"/>
  <c r="B139" i="17" s="1"/>
  <c r="H69" i="20"/>
  <c r="H76" i="20" s="1"/>
  <c r="F73" i="6"/>
  <c r="H73" i="20" s="1"/>
  <c r="F72" i="6"/>
  <c r="H72" i="20" s="1"/>
  <c r="F71" i="6"/>
  <c r="F76" i="6"/>
  <c r="C85" i="3"/>
  <c r="B8" i="20"/>
  <c r="K15" i="20"/>
  <c r="I67" i="6"/>
  <c r="I61" i="6"/>
  <c r="K93" i="3"/>
  <c r="M25" i="20"/>
  <c r="K54" i="6"/>
  <c r="K47" i="20"/>
  <c r="I49" i="6"/>
  <c r="I50" i="6"/>
  <c r="K50" i="20" s="1"/>
  <c r="N61" i="20"/>
  <c r="L64" i="6"/>
  <c r="N64" i="20" s="1"/>
  <c r="L63" i="6"/>
  <c r="L65" i="6"/>
  <c r="N65" i="20" s="1"/>
  <c r="L77" i="6"/>
  <c r="G53" i="8"/>
  <c r="P45" i="6"/>
  <c r="G20" i="1"/>
  <c r="D33" i="8"/>
  <c r="O45" i="6"/>
  <c r="N67" i="20"/>
  <c r="L75" i="6"/>
  <c r="N75" i="20" s="1"/>
  <c r="L69" i="6"/>
  <c r="D90" i="3"/>
  <c r="S93" i="3"/>
  <c r="D85" i="3"/>
  <c r="C25" i="20"/>
  <c r="C54" i="6"/>
  <c r="P75" i="6"/>
  <c r="P69" i="6"/>
  <c r="S54" i="6"/>
  <c r="D25" i="6"/>
  <c r="G278" i="8"/>
  <c r="F219" i="8"/>
  <c r="F278" i="8" s="1"/>
  <c r="S45" i="20"/>
  <c r="M30" i="20"/>
  <c r="K44" i="6"/>
  <c r="M44" i="20" s="1"/>
  <c r="K36" i="6"/>
  <c r="M36" i="20" s="1"/>
  <c r="K38" i="6"/>
  <c r="M38" i="20" s="1"/>
  <c r="K35" i="6"/>
  <c r="M35" i="20" s="1"/>
  <c r="K39" i="6"/>
  <c r="M39" i="20" s="1"/>
  <c r="K43" i="6"/>
  <c r="M43" i="20" s="1"/>
  <c r="K42" i="6"/>
  <c r="M42" i="20" s="1"/>
  <c r="K41" i="6"/>
  <c r="M41" i="20" s="1"/>
  <c r="K32" i="6"/>
  <c r="K40" i="6"/>
  <c r="M40" i="20" s="1"/>
  <c r="K37" i="6"/>
  <c r="M37" i="20" s="1"/>
  <c r="K34" i="6"/>
  <c r="M34" i="20" s="1"/>
  <c r="K33" i="6"/>
  <c r="M33" i="20" s="1"/>
  <c r="K25" i="20"/>
  <c r="I54" i="6"/>
  <c r="P77" i="6"/>
  <c r="P63" i="6"/>
  <c r="P64" i="6"/>
  <c r="P65" i="6"/>
  <c r="P25" i="20"/>
  <c r="N54" i="6"/>
  <c r="D14" i="20"/>
  <c r="D28" i="6"/>
  <c r="B120" i="17" s="1"/>
  <c r="S45" i="6"/>
  <c r="D27" i="6"/>
  <c r="B119" i="17" s="1"/>
  <c r="S54" i="20"/>
  <c r="J54" i="20"/>
  <c r="O52" i="6"/>
  <c r="N93" i="3"/>
  <c r="E43" i="1"/>
  <c r="C3" i="15" s="1"/>
  <c r="G75" i="20"/>
  <c r="K30" i="20"/>
  <c r="I42" i="6"/>
  <c r="K42" i="20" s="1"/>
  <c r="D42" i="20" s="1"/>
  <c r="I34" i="6"/>
  <c r="K34" i="20" s="1"/>
  <c r="D34" i="20" s="1"/>
  <c r="I44" i="6"/>
  <c r="K44" i="20" s="1"/>
  <c r="D44" i="20" s="1"/>
  <c r="I36" i="6"/>
  <c r="K36" i="20" s="1"/>
  <c r="D36" i="20" s="1"/>
  <c r="I32" i="6"/>
  <c r="D32" i="6" s="1"/>
  <c r="B124" i="17" s="1"/>
  <c r="I37" i="6"/>
  <c r="K37" i="20" s="1"/>
  <c r="I43" i="6"/>
  <c r="K43" i="20" s="1"/>
  <c r="D43" i="20" s="1"/>
  <c r="I41" i="6"/>
  <c r="K41" i="20" s="1"/>
  <c r="I40" i="6"/>
  <c r="K40" i="20" s="1"/>
  <c r="I39" i="6"/>
  <c r="K39" i="20" s="1"/>
  <c r="I38" i="6"/>
  <c r="K38" i="20" s="1"/>
  <c r="I35" i="6"/>
  <c r="K35" i="20" s="1"/>
  <c r="D35" i="20" s="1"/>
  <c r="I33" i="6"/>
  <c r="K33" i="20" s="1"/>
  <c r="K17" i="20"/>
  <c r="D82" i="6"/>
  <c r="L49" i="20"/>
  <c r="J52" i="6"/>
  <c r="O93" i="3"/>
  <c r="D92" i="3"/>
  <c r="C30" i="20"/>
  <c r="C44" i="6"/>
  <c r="C44" i="20" s="1"/>
  <c r="C36" i="6"/>
  <c r="C36" i="20" s="1"/>
  <c r="C38" i="6"/>
  <c r="C38" i="20" s="1"/>
  <c r="C39" i="6"/>
  <c r="C39" i="20" s="1"/>
  <c r="C33" i="6"/>
  <c r="C33" i="20" s="1"/>
  <c r="C41" i="6"/>
  <c r="C41" i="20" s="1"/>
  <c r="C35" i="6"/>
  <c r="C35" i="20" s="1"/>
  <c r="C34" i="6"/>
  <c r="C34" i="20" s="1"/>
  <c r="C43" i="6"/>
  <c r="C43" i="20" s="1"/>
  <c r="C42" i="6"/>
  <c r="C42" i="20" s="1"/>
  <c r="C40" i="6"/>
  <c r="C40" i="20" s="1"/>
  <c r="C32" i="6"/>
  <c r="C37" i="6"/>
  <c r="C37" i="20" s="1"/>
  <c r="N25" i="20"/>
  <c r="D25" i="20" s="1"/>
  <c r="L54" i="6"/>
  <c r="M15" i="20"/>
  <c r="M17" i="20" s="1"/>
  <c r="K67" i="6"/>
  <c r="K61" i="6"/>
  <c r="P69" i="20"/>
  <c r="P76" i="20" s="1"/>
  <c r="N73" i="6"/>
  <c r="P73" i="20" s="1"/>
  <c r="N72" i="6"/>
  <c r="P72" i="20" s="1"/>
  <c r="N71" i="6"/>
  <c r="N76" i="6"/>
  <c r="S65" i="3"/>
  <c r="T35" i="3"/>
  <c r="D35" i="3"/>
  <c r="G69" i="20"/>
  <c r="E76" i="6"/>
  <c r="E71" i="6"/>
  <c r="E73" i="6"/>
  <c r="E72" i="6"/>
  <c r="D15" i="6"/>
  <c r="D82" i="20"/>
  <c r="J51" i="6"/>
  <c r="L51" i="20" s="1"/>
  <c r="L61" i="20"/>
  <c r="J77" i="6"/>
  <c r="J63" i="6"/>
  <c r="J65" i="6"/>
  <c r="L65" i="20" s="1"/>
  <c r="J64" i="6"/>
  <c r="L64" i="20" s="1"/>
  <c r="D91" i="3"/>
  <c r="C21" i="20"/>
  <c r="C17" i="20"/>
  <c r="L67" i="20"/>
  <c r="J69" i="6"/>
  <c r="J75" i="6"/>
  <c r="L75" i="20" s="1"/>
  <c r="J67" i="20"/>
  <c r="H75" i="6"/>
  <c r="J75" i="20" s="1"/>
  <c r="H69" i="6"/>
  <c r="P30" i="20"/>
  <c r="D30" i="20" s="1"/>
  <c r="N39" i="6"/>
  <c r="P39" i="20" s="1"/>
  <c r="D39" i="20" s="1"/>
  <c r="N41" i="6"/>
  <c r="P41" i="20" s="1"/>
  <c r="N44" i="6"/>
  <c r="P44" i="20" s="1"/>
  <c r="N36" i="6"/>
  <c r="P36" i="20" s="1"/>
  <c r="N38" i="6"/>
  <c r="P38" i="20" s="1"/>
  <c r="D38" i="20" s="1"/>
  <c r="N37" i="6"/>
  <c r="P37" i="20" s="1"/>
  <c r="D37" i="20" s="1"/>
  <c r="N35" i="6"/>
  <c r="P35" i="20" s="1"/>
  <c r="N34" i="6"/>
  <c r="P34" i="20" s="1"/>
  <c r="N33" i="6"/>
  <c r="P33" i="20" s="1"/>
  <c r="D33" i="20" s="1"/>
  <c r="N43" i="6"/>
  <c r="P43" i="20" s="1"/>
  <c r="N32" i="6"/>
  <c r="N42" i="6"/>
  <c r="P42" i="20" s="1"/>
  <c r="N40" i="6"/>
  <c r="P40" i="20" s="1"/>
  <c r="D40" i="20" s="1"/>
  <c r="D30" i="6"/>
  <c r="B122" i="17" s="1"/>
  <c r="P63" i="20"/>
  <c r="N66" i="6"/>
  <c r="P66" i="20" s="1"/>
  <c r="S77" i="6"/>
  <c r="S64" i="6"/>
  <c r="D61" i="6"/>
  <c r="D77" i="6" s="1"/>
  <c r="S65" i="6"/>
  <c r="S63" i="6"/>
  <c r="D37" i="6"/>
  <c r="B129" i="17" s="1"/>
  <c r="H51" i="6"/>
  <c r="J51" i="20" s="1"/>
  <c r="D106" i="3"/>
  <c r="D67" i="6"/>
  <c r="G45" i="20"/>
  <c r="J61" i="20"/>
  <c r="H77" i="6"/>
  <c r="H65" i="6"/>
  <c r="J65" i="20" s="1"/>
  <c r="H64" i="6"/>
  <c r="J64" i="20" s="1"/>
  <c r="H63" i="6"/>
  <c r="I93" i="3"/>
  <c r="H63" i="20"/>
  <c r="F66" i="6"/>
  <c r="H66" i="20" s="1"/>
  <c r="D29" i="6"/>
  <c r="B121" i="17" s="1"/>
  <c r="N47" i="20"/>
  <c r="L50" i="6"/>
  <c r="N50" i="20" s="1"/>
  <c r="L49" i="6"/>
  <c r="F104" i="17"/>
  <c r="O49" i="20"/>
  <c r="O52" i="20" s="1"/>
  <c r="M52" i="6"/>
  <c r="C67" i="6"/>
  <c r="C61" i="6"/>
  <c r="E108" i="3"/>
  <c r="C95" i="3"/>
  <c r="C92" i="3"/>
  <c r="C90" i="3"/>
  <c r="C93" i="3" s="1"/>
  <c r="C91" i="3"/>
  <c r="P47" i="20"/>
  <c r="D47" i="20" s="1"/>
  <c r="N51" i="6"/>
  <c r="P51" i="20" s="1"/>
  <c r="N50" i="6"/>
  <c r="P50" i="20" s="1"/>
  <c r="D50" i="20" s="1"/>
  <c r="N49" i="6"/>
  <c r="S20" i="9"/>
  <c r="D20" i="9" s="1"/>
  <c r="D14" i="6"/>
  <c r="S17" i="6"/>
  <c r="D17" i="6" s="1"/>
  <c r="F95" i="17"/>
  <c r="G63" i="20"/>
  <c r="E66" i="6"/>
  <c r="G66" i="20" s="1"/>
  <c r="D104" i="3"/>
  <c r="D108" i="3" s="1"/>
  <c r="N30" i="20"/>
  <c r="L37" i="6"/>
  <c r="N37" i="20" s="1"/>
  <c r="L39" i="6"/>
  <c r="N39" i="20" s="1"/>
  <c r="L42" i="6"/>
  <c r="N42" i="20" s="1"/>
  <c r="L33" i="6"/>
  <c r="N33" i="20" s="1"/>
  <c r="L44" i="6"/>
  <c r="N44" i="20" s="1"/>
  <c r="L40" i="6"/>
  <c r="N40" i="20" s="1"/>
  <c r="L38" i="6"/>
  <c r="N38" i="20" s="1"/>
  <c r="L36" i="6"/>
  <c r="N36" i="20" s="1"/>
  <c r="L35" i="6"/>
  <c r="N35" i="20" s="1"/>
  <c r="L34" i="6"/>
  <c r="N34" i="20" s="1"/>
  <c r="L43" i="6"/>
  <c r="N43" i="20" s="1"/>
  <c r="L41" i="6"/>
  <c r="N41" i="20" s="1"/>
  <c r="L32" i="6"/>
  <c r="J49" i="20"/>
  <c r="H52" i="6"/>
  <c r="O54" i="20"/>
  <c r="M47" i="20"/>
  <c r="K49" i="6"/>
  <c r="K50" i="6"/>
  <c r="M50" i="20" s="1"/>
  <c r="F106" i="17"/>
  <c r="D55" i="3"/>
  <c r="B100" i="17" s="1"/>
  <c r="F99" i="17" s="1"/>
  <c r="T55" i="3"/>
  <c r="L32" i="20"/>
  <c r="L45" i="20" s="1"/>
  <c r="J45" i="6"/>
  <c r="P93" i="3"/>
  <c r="F93" i="3"/>
  <c r="P52" i="6"/>
  <c r="C47" i="20"/>
  <c r="C51" i="6"/>
  <c r="C51" i="20" s="1"/>
  <c r="C50" i="6"/>
  <c r="C50" i="20" s="1"/>
  <c r="C49" i="6"/>
  <c r="D54" i="20" l="1"/>
  <c r="N49" i="20"/>
  <c r="N32" i="20"/>
  <c r="N45" i="20" s="1"/>
  <c r="L45" i="6"/>
  <c r="C61" i="20"/>
  <c r="C77" i="20" s="1"/>
  <c r="C63" i="6"/>
  <c r="C77" i="6"/>
  <c r="C65" i="6"/>
  <c r="C65" i="20" s="1"/>
  <c r="C64" i="6"/>
  <c r="C64" i="20" s="1"/>
  <c r="G76" i="20"/>
  <c r="K54" i="20"/>
  <c r="K49" i="20"/>
  <c r="F97" i="17"/>
  <c r="G12" i="1"/>
  <c r="E9" i="1"/>
  <c r="D39" i="6"/>
  <c r="B131" i="17" s="1"/>
  <c r="P54" i="20"/>
  <c r="C139" i="17"/>
  <c r="E68" i="17" s="1"/>
  <c r="O67" i="20"/>
  <c r="M69" i="6"/>
  <c r="M75" i="6"/>
  <c r="O75" i="20" s="1"/>
  <c r="M49" i="20"/>
  <c r="J77" i="20"/>
  <c r="F90" i="17"/>
  <c r="F96" i="17"/>
  <c r="M67" i="20"/>
  <c r="K69" i="6"/>
  <c r="K75" i="6"/>
  <c r="M75" i="20" s="1"/>
  <c r="L52" i="20"/>
  <c r="D41" i="20"/>
  <c r="F93" i="17"/>
  <c r="B117" i="17"/>
  <c r="D54" i="6"/>
  <c r="C54" i="20"/>
  <c r="N63" i="20"/>
  <c r="L66" i="6"/>
  <c r="N66" i="20" s="1"/>
  <c r="O61" i="20"/>
  <c r="O77" i="20" s="1"/>
  <c r="M63" i="6"/>
  <c r="M65" i="6"/>
  <c r="O65" i="20" s="1"/>
  <c r="M77" i="6"/>
  <c r="M64" i="6"/>
  <c r="O64" i="20" s="1"/>
  <c r="D35" i="6"/>
  <c r="B127" i="17" s="1"/>
  <c r="I61" i="20"/>
  <c r="G65" i="6"/>
  <c r="I65" i="20" s="1"/>
  <c r="G77" i="6"/>
  <c r="G64" i="6"/>
  <c r="I64" i="20" s="1"/>
  <c r="D64" i="20" s="1"/>
  <c r="G63" i="6"/>
  <c r="B80" i="17"/>
  <c r="D65" i="3"/>
  <c r="B110" i="17" s="1"/>
  <c r="C32" i="20"/>
  <c r="C45" i="20" s="1"/>
  <c r="C45" i="6"/>
  <c r="D34" i="6"/>
  <c r="B126" i="17" s="1"/>
  <c r="K51" i="6"/>
  <c r="M51" i="20" s="1"/>
  <c r="P32" i="20"/>
  <c r="P45" i="20" s="1"/>
  <c r="N45" i="6"/>
  <c r="L63" i="20"/>
  <c r="J66" i="6"/>
  <c r="L66" i="20" s="1"/>
  <c r="T41" i="3"/>
  <c r="T63" i="3"/>
  <c r="T38" i="3"/>
  <c r="T57" i="3"/>
  <c r="T39" i="3"/>
  <c r="T64" i="3"/>
  <c r="T54" i="3"/>
  <c r="T37" i="3"/>
  <c r="T56" i="3"/>
  <c r="T36" i="3"/>
  <c r="T65" i="3" s="1"/>
  <c r="T45" i="3"/>
  <c r="T40" i="3"/>
  <c r="T51" i="3"/>
  <c r="T48" i="3"/>
  <c r="T53" i="3"/>
  <c r="T47" i="3"/>
  <c r="T44" i="3"/>
  <c r="T43" i="3"/>
  <c r="T52" i="3"/>
  <c r="T42" i="3"/>
  <c r="T46" i="3"/>
  <c r="T49" i="3"/>
  <c r="T50" i="3"/>
  <c r="G24" i="1"/>
  <c r="E20" i="1"/>
  <c r="M54" i="20"/>
  <c r="D40" i="6"/>
  <c r="B132" i="17" s="1"/>
  <c r="S23" i="9"/>
  <c r="D23" i="9" s="1"/>
  <c r="I67" i="20"/>
  <c r="G69" i="6"/>
  <c r="G75" i="6"/>
  <c r="F91" i="17"/>
  <c r="C67" i="20"/>
  <c r="C69" i="6"/>
  <c r="C75" i="6"/>
  <c r="C75" i="20" s="1"/>
  <c r="C49" i="20"/>
  <c r="C52" i="20" s="1"/>
  <c r="C52" i="6"/>
  <c r="F107" i="17"/>
  <c r="D44" i="6"/>
  <c r="B136" i="17" s="1"/>
  <c r="L69" i="20"/>
  <c r="L76" i="20" s="1"/>
  <c r="J76" i="6"/>
  <c r="J73" i="6"/>
  <c r="L73" i="20" s="1"/>
  <c r="J72" i="6"/>
  <c r="L72" i="20" s="1"/>
  <c r="J71" i="6"/>
  <c r="G72" i="20"/>
  <c r="N77" i="20"/>
  <c r="F98" i="17"/>
  <c r="I17" i="20"/>
  <c r="D17" i="20" s="1"/>
  <c r="D15" i="20"/>
  <c r="M61" i="20"/>
  <c r="M77" i="20" s="1"/>
  <c r="K63" i="6"/>
  <c r="K64" i="6"/>
  <c r="M64" i="20" s="1"/>
  <c r="K65" i="6"/>
  <c r="M65" i="20" s="1"/>
  <c r="K77" i="6"/>
  <c r="D38" i="6"/>
  <c r="B130" i="17" s="1"/>
  <c r="L51" i="6"/>
  <c r="N51" i="20" s="1"/>
  <c r="D51" i="6"/>
  <c r="B143" i="17" s="1"/>
  <c r="D33" i="6"/>
  <c r="B125" i="17" s="1"/>
  <c r="L77" i="20"/>
  <c r="G73" i="20"/>
  <c r="P71" i="20"/>
  <c r="P74" i="20" s="1"/>
  <c r="N74" i="6"/>
  <c r="N54" i="20"/>
  <c r="K32" i="20"/>
  <c r="I45" i="6"/>
  <c r="D45" i="6" s="1"/>
  <c r="B137" i="17" s="1"/>
  <c r="D6" i="15"/>
  <c r="D19" i="15"/>
  <c r="P66" i="6"/>
  <c r="M32" i="20"/>
  <c r="M45" i="20" s="1"/>
  <c r="K45" i="6"/>
  <c r="B147" i="17"/>
  <c r="C138" i="17" s="1"/>
  <c r="D93" i="3"/>
  <c r="F92" i="17"/>
  <c r="F88" i="17"/>
  <c r="H71" i="20"/>
  <c r="H74" i="20" s="1"/>
  <c r="F74" i="6"/>
  <c r="D49" i="6"/>
  <c r="B141" i="17" s="1"/>
  <c r="J63" i="20"/>
  <c r="H66" i="6"/>
  <c r="J66" i="20" s="1"/>
  <c r="G71" i="20"/>
  <c r="E74" i="6"/>
  <c r="D41" i="6"/>
  <c r="B133" i="17" s="1"/>
  <c r="N69" i="20"/>
  <c r="N76" i="20" s="1"/>
  <c r="L73" i="6"/>
  <c r="N73" i="20" s="1"/>
  <c r="L72" i="6"/>
  <c r="N72" i="20" s="1"/>
  <c r="L71" i="6"/>
  <c r="L76" i="6"/>
  <c r="K61" i="20"/>
  <c r="I77" i="6"/>
  <c r="I63" i="6"/>
  <c r="I65" i="6"/>
  <c r="K65" i="20" s="1"/>
  <c r="I64" i="6"/>
  <c r="K64" i="20" s="1"/>
  <c r="F94" i="17"/>
  <c r="O65" i="6"/>
  <c r="O77" i="6"/>
  <c r="O64" i="6"/>
  <c r="O63" i="6"/>
  <c r="F87" i="17"/>
  <c r="D42" i="6"/>
  <c r="B134" i="17" s="1"/>
  <c r="J52" i="20"/>
  <c r="D49" i="20"/>
  <c r="P49" i="20"/>
  <c r="P52" i="20" s="1"/>
  <c r="N52" i="6"/>
  <c r="S66" i="6"/>
  <c r="J69" i="20"/>
  <c r="J76" i="20" s="1"/>
  <c r="H71" i="6"/>
  <c r="H73" i="6"/>
  <c r="J73" i="20" s="1"/>
  <c r="H72" i="6"/>
  <c r="J72" i="20" s="1"/>
  <c r="H76" i="6"/>
  <c r="D50" i="6"/>
  <c r="B142" i="17" s="1"/>
  <c r="D43" i="6"/>
  <c r="B135" i="17" s="1"/>
  <c r="P73" i="6"/>
  <c r="P71" i="6"/>
  <c r="P76" i="6"/>
  <c r="P72" i="6"/>
  <c r="F89" i="17"/>
  <c r="I51" i="6"/>
  <c r="K51" i="20" s="1"/>
  <c r="D51" i="20" s="1"/>
  <c r="K67" i="20"/>
  <c r="I69" i="6"/>
  <c r="I75" i="6"/>
  <c r="K75" i="20" s="1"/>
  <c r="D36" i="6"/>
  <c r="B128" i="17" s="1"/>
  <c r="O69" i="6"/>
  <c r="O75" i="6"/>
  <c r="D35" i="8"/>
  <c r="C129" i="17" l="1"/>
  <c r="C124" i="17"/>
  <c r="N71" i="20"/>
  <c r="N74" i="20" s="1"/>
  <c r="L74" i="6"/>
  <c r="O63" i="20"/>
  <c r="M66" i="6"/>
  <c r="O66" i="20" s="1"/>
  <c r="E67" i="17"/>
  <c r="D63" i="6"/>
  <c r="F100" i="17"/>
  <c r="K63" i="20"/>
  <c r="I66" i="6"/>
  <c r="K66" i="20" s="1"/>
  <c r="C120" i="17"/>
  <c r="E64" i="17" s="1"/>
  <c r="C127" i="17"/>
  <c r="C121" i="17"/>
  <c r="E65" i="17" s="1"/>
  <c r="G27" i="1"/>
  <c r="D65" i="6"/>
  <c r="O72" i="6"/>
  <c r="O76" i="6"/>
  <c r="O71" i="6"/>
  <c r="O73" i="6"/>
  <c r="C133" i="17"/>
  <c r="C136" i="17"/>
  <c r="I75" i="20"/>
  <c r="D75" i="20" s="1"/>
  <c r="D75" i="6"/>
  <c r="C119" i="17"/>
  <c r="E63" i="17" s="1"/>
  <c r="C81" i="17"/>
  <c r="C82" i="17"/>
  <c r="C101" i="17"/>
  <c r="C102" i="17"/>
  <c r="C83" i="17"/>
  <c r="C84" i="17"/>
  <c r="C85" i="17"/>
  <c r="L52" i="6"/>
  <c r="K45" i="20"/>
  <c r="D45" i="20" s="1"/>
  <c r="D32" i="20"/>
  <c r="C135" i="17"/>
  <c r="K77" i="20"/>
  <c r="B26" i="15"/>
  <c r="B24" i="15"/>
  <c r="B23" i="15"/>
  <c r="B25" i="15"/>
  <c r="I69" i="20"/>
  <c r="G72" i="6"/>
  <c r="G76" i="6"/>
  <c r="G71" i="6"/>
  <c r="G73" i="6"/>
  <c r="D69" i="6"/>
  <c r="D76" i="6" s="1"/>
  <c r="C80" i="17"/>
  <c r="C117" i="17"/>
  <c r="E61" i="17" s="1"/>
  <c r="O69" i="20"/>
  <c r="O76" i="20" s="1"/>
  <c r="M76" i="6"/>
  <c r="M71" i="6"/>
  <c r="M73" i="6"/>
  <c r="O73" i="20" s="1"/>
  <c r="M72" i="6"/>
  <c r="O72" i="20" s="1"/>
  <c r="I52" i="6"/>
  <c r="N52" i="20"/>
  <c r="K69" i="20"/>
  <c r="K76" i="20" s="1"/>
  <c r="I73" i="6"/>
  <c r="K73" i="20" s="1"/>
  <c r="I76" i="6"/>
  <c r="I71" i="6"/>
  <c r="I72" i="6"/>
  <c r="K72" i="20" s="1"/>
  <c r="O66" i="6"/>
  <c r="C118" i="17"/>
  <c r="E62" i="17" s="1"/>
  <c r="B14" i="15"/>
  <c r="B15" i="15"/>
  <c r="D15" i="15" s="1"/>
  <c r="B10" i="15"/>
  <c r="M63" i="20"/>
  <c r="K66" i="6"/>
  <c r="M66" i="20" s="1"/>
  <c r="D67" i="20"/>
  <c r="I63" i="20"/>
  <c r="G66" i="6"/>
  <c r="I66" i="20" s="1"/>
  <c r="D64" i="6"/>
  <c r="K52" i="20"/>
  <c r="D52" i="20" s="1"/>
  <c r="C125" i="17"/>
  <c r="C63" i="20"/>
  <c r="C66" i="20" s="1"/>
  <c r="C66" i="6"/>
  <c r="P74" i="6"/>
  <c r="C69" i="20"/>
  <c r="C76" i="20" s="1"/>
  <c r="C72" i="6"/>
  <c r="C72" i="20" s="1"/>
  <c r="C73" i="6"/>
  <c r="C73" i="20" s="1"/>
  <c r="C71" i="6"/>
  <c r="C76" i="6"/>
  <c r="C126" i="17"/>
  <c r="D65" i="20"/>
  <c r="K52" i="6"/>
  <c r="C131" i="17"/>
  <c r="G74" i="20"/>
  <c r="L71" i="20"/>
  <c r="L74" i="20" s="1"/>
  <c r="J74" i="6"/>
  <c r="C132" i="17"/>
  <c r="C128" i="17"/>
  <c r="J71" i="20"/>
  <c r="J74" i="20" s="1"/>
  <c r="H74" i="6"/>
  <c r="C134" i="17"/>
  <c r="C141" i="17"/>
  <c r="B144" i="17"/>
  <c r="C143" i="17" s="1"/>
  <c r="C130" i="17"/>
  <c r="E24" i="1"/>
  <c r="F20" i="1"/>
  <c r="F24" i="1" s="1"/>
  <c r="I77" i="20"/>
  <c r="D61" i="20"/>
  <c r="D77" i="20" s="1"/>
  <c r="M69" i="20"/>
  <c r="M76" i="20" s="1"/>
  <c r="K72" i="6"/>
  <c r="M72" i="20" s="1"/>
  <c r="K73" i="6"/>
  <c r="M73" i="20" s="1"/>
  <c r="K76" i="6"/>
  <c r="K71" i="6"/>
  <c r="M52" i="20"/>
  <c r="F9" i="1"/>
  <c r="F12" i="1" s="1"/>
  <c r="F27" i="1" s="1"/>
  <c r="E12" i="1"/>
  <c r="E27" i="1" s="1"/>
  <c r="C122" i="17"/>
  <c r="E66" i="17" s="1"/>
  <c r="I71" i="20" l="1"/>
  <c r="G74" i="6"/>
  <c r="D71" i="6"/>
  <c r="C71" i="20"/>
  <c r="C74" i="20" s="1"/>
  <c r="C74" i="6"/>
  <c r="K71" i="20"/>
  <c r="K74" i="20" s="1"/>
  <c r="I74" i="6"/>
  <c r="O71" i="20"/>
  <c r="O74" i="20" s="1"/>
  <c r="M74" i="6"/>
  <c r="C11" i="17"/>
  <c r="G68" i="15"/>
  <c r="D10" i="15"/>
  <c r="C36" i="15"/>
  <c r="C13" i="16"/>
  <c r="C68" i="15"/>
  <c r="C35" i="15"/>
  <c r="G10" i="15"/>
  <c r="B12" i="15"/>
  <c r="G12" i="15" s="1"/>
  <c r="G36" i="15" s="1"/>
  <c r="B16" i="15"/>
  <c r="B11" i="15"/>
  <c r="G11" i="15" s="1"/>
  <c r="G35" i="15" s="1"/>
  <c r="I72" i="20"/>
  <c r="D72" i="20" s="1"/>
  <c r="D72" i="6"/>
  <c r="C147" i="17"/>
  <c r="C20" i="17"/>
  <c r="E20" i="17" s="1"/>
  <c r="C22" i="16"/>
  <c r="F22" i="16" s="1"/>
  <c r="G296" i="15"/>
  <c r="D26" i="15"/>
  <c r="B27" i="15"/>
  <c r="B28" i="15"/>
  <c r="I76" i="20"/>
  <c r="D69" i="20"/>
  <c r="D76" i="20" s="1"/>
  <c r="C110" i="17"/>
  <c r="D110" i="17" s="1"/>
  <c r="D101" i="17"/>
  <c r="D66" i="6"/>
  <c r="D66" i="20"/>
  <c r="D63" i="20"/>
  <c r="C142" i="17"/>
  <c r="C144" i="17" s="1"/>
  <c r="C19" i="17"/>
  <c r="E19" i="17" s="1"/>
  <c r="C21" i="16"/>
  <c r="C296" i="15"/>
  <c r="G25" i="15"/>
  <c r="D25" i="15"/>
  <c r="D81" i="17"/>
  <c r="O74" i="6"/>
  <c r="D52" i="6"/>
  <c r="C17" i="17"/>
  <c r="C19" i="16"/>
  <c r="C219" i="15"/>
  <c r="B29" i="15"/>
  <c r="D23" i="15"/>
  <c r="G23" i="15"/>
  <c r="C12" i="17"/>
  <c r="E12" i="17" s="1"/>
  <c r="C53" i="15"/>
  <c r="G14" i="15"/>
  <c r="G53" i="15" s="1"/>
  <c r="C14" i="16"/>
  <c r="F14" i="16" s="1"/>
  <c r="D14" i="15"/>
  <c r="G143" i="15"/>
  <c r="E71" i="17"/>
  <c r="D82" i="17"/>
  <c r="M71" i="20"/>
  <c r="M74" i="20" s="1"/>
  <c r="K74" i="6"/>
  <c r="I73" i="20"/>
  <c r="D73" i="20" s="1"/>
  <c r="D73" i="6"/>
  <c r="C20" i="16"/>
  <c r="C18" i="17"/>
  <c r="E18" i="17" s="1"/>
  <c r="G219" i="15"/>
  <c r="D24" i="15"/>
  <c r="G24" i="15"/>
  <c r="C137" i="17"/>
  <c r="G29" i="15" l="1"/>
  <c r="C373" i="15"/>
  <c r="G27" i="15"/>
  <c r="G26" i="15" s="1"/>
  <c r="C15" i="16"/>
  <c r="F13" i="16"/>
  <c r="G47" i="15"/>
  <c r="G45" i="15"/>
  <c r="G43" i="15"/>
  <c r="G48" i="15"/>
  <c r="G42" i="15"/>
  <c r="G40" i="15"/>
  <c r="G49" i="15"/>
  <c r="G46" i="15"/>
  <c r="G41" i="15"/>
  <c r="G44" i="15"/>
  <c r="D16" i="15"/>
  <c r="D31" i="15" s="1"/>
  <c r="G373" i="15"/>
  <c r="G28" i="15"/>
  <c r="B31" i="15"/>
  <c r="G129" i="15"/>
  <c r="G121" i="15"/>
  <c r="G123" i="15"/>
  <c r="G115" i="15"/>
  <c r="G107" i="15"/>
  <c r="G117" i="15"/>
  <c r="G102" i="15"/>
  <c r="G94" i="15"/>
  <c r="G86" i="15"/>
  <c r="G78" i="15"/>
  <c r="G127" i="15"/>
  <c r="G113" i="15"/>
  <c r="G110" i="15"/>
  <c r="G104" i="15"/>
  <c r="G96" i="15"/>
  <c r="G88" i="15"/>
  <c r="G80" i="15"/>
  <c r="G111" i="15"/>
  <c r="G103" i="15"/>
  <c r="G89" i="15"/>
  <c r="G85" i="15"/>
  <c r="G122" i="15"/>
  <c r="G105" i="15"/>
  <c r="G101" i="15"/>
  <c r="G87" i="15"/>
  <c r="G73" i="15"/>
  <c r="G131" i="15"/>
  <c r="G126" i="15"/>
  <c r="G112" i="15"/>
  <c r="G90" i="15"/>
  <c r="G83" i="15"/>
  <c r="G76" i="15"/>
  <c r="G130" i="15"/>
  <c r="G116" i="15"/>
  <c r="G108" i="15"/>
  <c r="G97" i="15"/>
  <c r="G93" i="15"/>
  <c r="G79" i="15"/>
  <c r="G128" i="15"/>
  <c r="G95" i="15"/>
  <c r="G81" i="15"/>
  <c r="G118" i="15"/>
  <c r="G109" i="15"/>
  <c r="G125" i="15"/>
  <c r="G100" i="15"/>
  <c r="G124" i="15"/>
  <c r="G106" i="15"/>
  <c r="G99" i="15"/>
  <c r="G92" i="15"/>
  <c r="G114" i="15"/>
  <c r="G77" i="15"/>
  <c r="G98" i="15"/>
  <c r="G91" i="15"/>
  <c r="G84" i="15"/>
  <c r="G120" i="15"/>
  <c r="G82" i="15"/>
  <c r="G75" i="15"/>
  <c r="G119" i="15"/>
  <c r="G74" i="15"/>
  <c r="I74" i="20"/>
  <c r="D71" i="20"/>
  <c r="D74" i="20" s="1"/>
  <c r="D29" i="15"/>
  <c r="G203" i="15"/>
  <c r="G198" i="15"/>
  <c r="G192" i="15"/>
  <c r="G187" i="15"/>
  <c r="G182" i="15"/>
  <c r="G176" i="15"/>
  <c r="G171" i="15"/>
  <c r="G166" i="15"/>
  <c r="G160" i="15"/>
  <c r="G155" i="15"/>
  <c r="G150" i="15"/>
  <c r="G202" i="15"/>
  <c r="G196" i="15"/>
  <c r="G191" i="15"/>
  <c r="G186" i="15"/>
  <c r="G180" i="15"/>
  <c r="G175" i="15"/>
  <c r="G170" i="15"/>
  <c r="G164" i="15"/>
  <c r="G159" i="15"/>
  <c r="G154" i="15"/>
  <c r="G148" i="15"/>
  <c r="G206" i="15"/>
  <c r="G199" i="15"/>
  <c r="G205" i="15"/>
  <c r="G177" i="15"/>
  <c r="G169" i="15"/>
  <c r="G201" i="15"/>
  <c r="G173" i="15"/>
  <c r="G200" i="15"/>
  <c r="G194" i="15"/>
  <c r="G179" i="15"/>
  <c r="G172" i="15"/>
  <c r="G165" i="15"/>
  <c r="G158" i="15"/>
  <c r="G151" i="15"/>
  <c r="G193" i="15"/>
  <c r="G185" i="15"/>
  <c r="G157" i="15"/>
  <c r="G195" i="15"/>
  <c r="G181" i="15"/>
  <c r="G167" i="15"/>
  <c r="G152" i="15"/>
  <c r="G178" i="15"/>
  <c r="G163" i="15"/>
  <c r="G149" i="15"/>
  <c r="G190" i="15"/>
  <c r="G162" i="15"/>
  <c r="G189" i="15"/>
  <c r="G161" i="15"/>
  <c r="G204" i="15"/>
  <c r="G188" i="15"/>
  <c r="G174" i="15"/>
  <c r="G184" i="15"/>
  <c r="G156" i="15"/>
  <c r="G197" i="15"/>
  <c r="G183" i="15"/>
  <c r="G168" i="15"/>
  <c r="G153" i="15"/>
  <c r="C23" i="16"/>
  <c r="F19" i="16"/>
  <c r="G16" i="15"/>
  <c r="D84" i="17"/>
  <c r="C280" i="15"/>
  <c r="C276" i="15"/>
  <c r="C272" i="15"/>
  <c r="C268" i="15"/>
  <c r="C264" i="15"/>
  <c r="C260" i="15"/>
  <c r="C256" i="15"/>
  <c r="C252" i="15"/>
  <c r="C248" i="15"/>
  <c r="C244" i="15"/>
  <c r="C240" i="15"/>
  <c r="C236" i="15"/>
  <c r="C232" i="15"/>
  <c r="C228" i="15"/>
  <c r="C224" i="15"/>
  <c r="C279" i="15"/>
  <c r="C275" i="15"/>
  <c r="C271" i="15"/>
  <c r="C267" i="15"/>
  <c r="C263" i="15"/>
  <c r="C259" i="15"/>
  <c r="C255" i="15"/>
  <c r="C251" i="15"/>
  <c r="C247" i="15"/>
  <c r="C243" i="15"/>
  <c r="C239" i="15"/>
  <c r="C235" i="15"/>
  <c r="C231" i="15"/>
  <c r="C227" i="15"/>
  <c r="C270" i="15"/>
  <c r="C249" i="15"/>
  <c r="C277" i="15"/>
  <c r="C269" i="15"/>
  <c r="C262" i="15"/>
  <c r="C241" i="15"/>
  <c r="C234" i="15"/>
  <c r="C226" i="15"/>
  <c r="C281" i="15"/>
  <c r="C238" i="15"/>
  <c r="C273" i="15"/>
  <c r="C266" i="15"/>
  <c r="C258" i="15"/>
  <c r="C245" i="15"/>
  <c r="C237" i="15"/>
  <c r="C230" i="15"/>
  <c r="C265" i="15"/>
  <c r="C278" i="15"/>
  <c r="C257" i="15"/>
  <c r="C250" i="15"/>
  <c r="C242" i="15"/>
  <c r="C229" i="15"/>
  <c r="C254" i="15"/>
  <c r="C282" i="15"/>
  <c r="C253" i="15"/>
  <c r="C225" i="15"/>
  <c r="C274" i="15"/>
  <c r="C246" i="15"/>
  <c r="C233" i="15"/>
  <c r="C261" i="15"/>
  <c r="C353" i="15"/>
  <c r="C345" i="15"/>
  <c r="C337" i="15"/>
  <c r="C329" i="15"/>
  <c r="C321" i="15"/>
  <c r="C313" i="15"/>
  <c r="C305" i="15"/>
  <c r="C355" i="15"/>
  <c r="C347" i="15"/>
  <c r="C339" i="15"/>
  <c r="C331" i="15"/>
  <c r="C323" i="15"/>
  <c r="C315" i="15"/>
  <c r="C307" i="15"/>
  <c r="C354" i="15"/>
  <c r="C340" i="15"/>
  <c r="C336" i="15"/>
  <c r="C322" i="15"/>
  <c r="C308" i="15"/>
  <c r="C304" i="15"/>
  <c r="C346" i="15"/>
  <c r="C332" i="15"/>
  <c r="C328" i="15"/>
  <c r="C314" i="15"/>
  <c r="C356" i="15"/>
  <c r="C318" i="15"/>
  <c r="C351" i="15"/>
  <c r="C341" i="15"/>
  <c r="C327" i="15"/>
  <c r="C317" i="15"/>
  <c r="C303" i="15"/>
  <c r="C344" i="15"/>
  <c r="C330" i="15"/>
  <c r="C325" i="15"/>
  <c r="C320" i="15"/>
  <c r="C316" i="15"/>
  <c r="C311" i="15"/>
  <c r="C306" i="15"/>
  <c r="C358" i="15"/>
  <c r="C334" i="15"/>
  <c r="C310" i="15"/>
  <c r="C301" i="15"/>
  <c r="C357" i="15"/>
  <c r="C352" i="15"/>
  <c r="C348" i="15"/>
  <c r="C343" i="15"/>
  <c r="C338" i="15"/>
  <c r="C324" i="15"/>
  <c r="C342" i="15"/>
  <c r="C333" i="15"/>
  <c r="C319" i="15"/>
  <c r="C309" i="15"/>
  <c r="C350" i="15"/>
  <c r="C312" i="15"/>
  <c r="C349" i="15"/>
  <c r="C326" i="15"/>
  <c r="C359" i="15"/>
  <c r="C302" i="15"/>
  <c r="C335" i="15"/>
  <c r="K22" i="16"/>
  <c r="E11" i="17"/>
  <c r="C13" i="17"/>
  <c r="K14" i="16"/>
  <c r="G58" i="15"/>
  <c r="G57" i="15"/>
  <c r="G59" i="15" s="1"/>
  <c r="C47" i="15"/>
  <c r="C45" i="15"/>
  <c r="C43" i="15"/>
  <c r="C49" i="15"/>
  <c r="C48" i="15"/>
  <c r="C44" i="15"/>
  <c r="C42" i="15"/>
  <c r="C46" i="15"/>
  <c r="C41" i="15"/>
  <c r="C40" i="15"/>
  <c r="D83" i="17"/>
  <c r="D74" i="6"/>
  <c r="G281" i="15"/>
  <c r="G276" i="15"/>
  <c r="G270" i="15"/>
  <c r="G265" i="15"/>
  <c r="G260" i="15"/>
  <c r="G254" i="15"/>
  <c r="G249" i="15"/>
  <c r="G244" i="15"/>
  <c r="G238" i="15"/>
  <c r="G233" i="15"/>
  <c r="G228" i="15"/>
  <c r="G280" i="15"/>
  <c r="G274" i="15"/>
  <c r="G269" i="15"/>
  <c r="G264" i="15"/>
  <c r="G258" i="15"/>
  <c r="G253" i="15"/>
  <c r="G248" i="15"/>
  <c r="G242" i="15"/>
  <c r="G237" i="15"/>
  <c r="G232" i="15"/>
  <c r="G226" i="15"/>
  <c r="G277" i="15"/>
  <c r="G262" i="15"/>
  <c r="G256" i="15"/>
  <c r="G241" i="15"/>
  <c r="G234" i="15"/>
  <c r="G227" i="15"/>
  <c r="G255" i="15"/>
  <c r="G247" i="15"/>
  <c r="G273" i="15"/>
  <c r="G266" i="15"/>
  <c r="G259" i="15"/>
  <c r="G252" i="15"/>
  <c r="G245" i="15"/>
  <c r="G230" i="15"/>
  <c r="G224" i="15"/>
  <c r="G279" i="15"/>
  <c r="G251" i="15"/>
  <c r="G278" i="15"/>
  <c r="G272" i="15"/>
  <c r="G257" i="15"/>
  <c r="G250" i="15"/>
  <c r="G243" i="15"/>
  <c r="G236" i="15"/>
  <c r="G229" i="15"/>
  <c r="G271" i="15"/>
  <c r="G263" i="15"/>
  <c r="G235" i="15"/>
  <c r="G282" i="15"/>
  <c r="G225" i="15"/>
  <c r="G275" i="15"/>
  <c r="G246" i="15"/>
  <c r="G268" i="15"/>
  <c r="G240" i="15"/>
  <c r="G267" i="15"/>
  <c r="G239" i="15"/>
  <c r="G261" i="15"/>
  <c r="G231" i="15"/>
  <c r="C21" i="17"/>
  <c r="E17" i="17"/>
  <c r="D85" i="17"/>
  <c r="C57" i="15"/>
  <c r="C59" i="15" s="1"/>
  <c r="C58" i="15"/>
  <c r="D80" i="17"/>
  <c r="D102" i="17"/>
  <c r="C124" i="15"/>
  <c r="C116" i="15"/>
  <c r="C126" i="15"/>
  <c r="C118" i="15"/>
  <c r="C110" i="15"/>
  <c r="C128" i="15"/>
  <c r="C121" i="15"/>
  <c r="C114" i="15"/>
  <c r="C111" i="15"/>
  <c r="C108" i="15"/>
  <c r="C105" i="15"/>
  <c r="C97" i="15"/>
  <c r="C89" i="15"/>
  <c r="C81" i="15"/>
  <c r="C73" i="15"/>
  <c r="C131" i="15"/>
  <c r="C120" i="15"/>
  <c r="C107" i="15"/>
  <c r="C99" i="15"/>
  <c r="C91" i="15"/>
  <c r="C83" i="15"/>
  <c r="C75" i="15"/>
  <c r="C125" i="15"/>
  <c r="C115" i="15"/>
  <c r="C100" i="15"/>
  <c r="C96" i="15"/>
  <c r="C82" i="15"/>
  <c r="C127" i="15"/>
  <c r="C113" i="15"/>
  <c r="C109" i="15"/>
  <c r="C98" i="15"/>
  <c r="C84" i="15"/>
  <c r="C80" i="15"/>
  <c r="C122" i="15"/>
  <c r="C117" i="15"/>
  <c r="C101" i="15"/>
  <c r="C94" i="15"/>
  <c r="C87" i="15"/>
  <c r="C112" i="15"/>
  <c r="C104" i="15"/>
  <c r="C90" i="15"/>
  <c r="C76" i="15"/>
  <c r="C119" i="15"/>
  <c r="C88" i="15"/>
  <c r="C74" i="15"/>
  <c r="C102" i="15"/>
  <c r="C95" i="15"/>
  <c r="C93" i="15"/>
  <c r="C86" i="15"/>
  <c r="C79" i="15"/>
  <c r="C85" i="15"/>
  <c r="C78" i="15"/>
  <c r="C123" i="15"/>
  <c r="C106" i="15"/>
  <c r="C92" i="15"/>
  <c r="C77" i="15"/>
  <c r="C130" i="15"/>
  <c r="C129" i="15"/>
  <c r="C103" i="15"/>
  <c r="C360" i="15" l="1"/>
  <c r="K19" i="16"/>
  <c r="K23" i="16" s="1"/>
  <c r="G19" i="16"/>
  <c r="F23" i="16"/>
  <c r="F6" i="16" s="1"/>
  <c r="C132" i="15"/>
  <c r="G132" i="15"/>
  <c r="K13" i="16"/>
  <c r="G13" i="16"/>
  <c r="F15" i="16"/>
  <c r="C50" i="15"/>
  <c r="E13" i="17"/>
  <c r="F11" i="17"/>
  <c r="E74" i="17"/>
  <c r="E76" i="17" s="1"/>
  <c r="G50" i="15"/>
  <c r="E21" i="17"/>
  <c r="F17" i="17" s="1"/>
  <c r="G283" i="15"/>
  <c r="C435" i="15"/>
  <c r="C431" i="15"/>
  <c r="C427" i="15"/>
  <c r="C423" i="15"/>
  <c r="C419" i="15"/>
  <c r="C415" i="15"/>
  <c r="C411" i="15"/>
  <c r="C407" i="15"/>
  <c r="C403" i="15"/>
  <c r="C399" i="15"/>
  <c r="C395" i="15"/>
  <c r="C391" i="15"/>
  <c r="C387" i="15"/>
  <c r="C383" i="15"/>
  <c r="C379" i="15"/>
  <c r="C433" i="15"/>
  <c r="C425" i="15"/>
  <c r="C417" i="15"/>
  <c r="C409" i="15"/>
  <c r="C401" i="15"/>
  <c r="C393" i="15"/>
  <c r="C385" i="15"/>
  <c r="C432" i="15"/>
  <c r="C424" i="15"/>
  <c r="C416" i="15"/>
  <c r="C408" i="15"/>
  <c r="C400" i="15"/>
  <c r="C392" i="15"/>
  <c r="C384" i="15"/>
  <c r="C430" i="15"/>
  <c r="C410" i="15"/>
  <c r="C398" i="15"/>
  <c r="C378" i="15"/>
  <c r="C418" i="15"/>
  <c r="C406" i="15"/>
  <c r="C386" i="15"/>
  <c r="C434" i="15"/>
  <c r="C420" i="15"/>
  <c r="C390" i="15"/>
  <c r="C404" i="15"/>
  <c r="C389" i="15"/>
  <c r="C426" i="15"/>
  <c r="C397" i="15"/>
  <c r="C382" i="15"/>
  <c r="C412" i="15"/>
  <c r="C396" i="15"/>
  <c r="C381" i="15"/>
  <c r="C422" i="15"/>
  <c r="C394" i="15"/>
  <c r="C436" i="15"/>
  <c r="C421" i="15"/>
  <c r="C405" i="15"/>
  <c r="C380" i="15"/>
  <c r="C388" i="15"/>
  <c r="C429" i="15"/>
  <c r="C428" i="15"/>
  <c r="C414" i="15"/>
  <c r="C413" i="15"/>
  <c r="C402" i="15"/>
  <c r="C283" i="15"/>
  <c r="G433" i="15"/>
  <c r="G356" i="15" s="1"/>
  <c r="F356" i="15" s="1"/>
  <c r="G429" i="15"/>
  <c r="G352" i="15" s="1"/>
  <c r="F352" i="15" s="1"/>
  <c r="G425" i="15"/>
  <c r="G348" i="15" s="1"/>
  <c r="F348" i="15" s="1"/>
  <c r="G421" i="15"/>
  <c r="G417" i="15"/>
  <c r="G340" i="15" s="1"/>
  <c r="F340" i="15" s="1"/>
  <c r="G413" i="15"/>
  <c r="G336" i="15" s="1"/>
  <c r="F336" i="15" s="1"/>
  <c r="G409" i="15"/>
  <c r="G332" i="15" s="1"/>
  <c r="F332" i="15" s="1"/>
  <c r="G405" i="15"/>
  <c r="G328" i="15" s="1"/>
  <c r="F328" i="15" s="1"/>
  <c r="G401" i="15"/>
  <c r="G324" i="15" s="1"/>
  <c r="F324" i="15" s="1"/>
  <c r="G397" i="15"/>
  <c r="G320" i="15" s="1"/>
  <c r="F320" i="15" s="1"/>
  <c r="G393" i="15"/>
  <c r="G316" i="15" s="1"/>
  <c r="F316" i="15" s="1"/>
  <c r="G389" i="15"/>
  <c r="G385" i="15"/>
  <c r="G308" i="15" s="1"/>
  <c r="F308" i="15" s="1"/>
  <c r="G381" i="15"/>
  <c r="G435" i="15"/>
  <c r="G431" i="15"/>
  <c r="G354" i="15" s="1"/>
  <c r="F354" i="15" s="1"/>
  <c r="G427" i="15"/>
  <c r="G350" i="15" s="1"/>
  <c r="F350" i="15" s="1"/>
  <c r="G423" i="15"/>
  <c r="G346" i="15" s="1"/>
  <c r="F346" i="15" s="1"/>
  <c r="G419" i="15"/>
  <c r="G342" i="15" s="1"/>
  <c r="F342" i="15" s="1"/>
  <c r="G415" i="15"/>
  <c r="G411" i="15"/>
  <c r="G334" i="15" s="1"/>
  <c r="F334" i="15" s="1"/>
  <c r="G407" i="15"/>
  <c r="G330" i="15" s="1"/>
  <c r="F330" i="15" s="1"/>
  <c r="G403" i="15"/>
  <c r="G326" i="15" s="1"/>
  <c r="F326" i="15" s="1"/>
  <c r="G399" i="15"/>
  <c r="G322" i="15" s="1"/>
  <c r="F322" i="15" s="1"/>
  <c r="G395" i="15"/>
  <c r="G318" i="15" s="1"/>
  <c r="F318" i="15" s="1"/>
  <c r="G391" i="15"/>
  <c r="G314" i="15" s="1"/>
  <c r="F314" i="15" s="1"/>
  <c r="G387" i="15"/>
  <c r="G310" i="15" s="1"/>
  <c r="F310" i="15" s="1"/>
  <c r="G383" i="15"/>
  <c r="G379" i="15"/>
  <c r="G302" i="15" s="1"/>
  <c r="F302" i="15" s="1"/>
  <c r="G434" i="15"/>
  <c r="G357" i="15" s="1"/>
  <c r="F357" i="15" s="1"/>
  <c r="G430" i="15"/>
  <c r="G426" i="15"/>
  <c r="G349" i="15" s="1"/>
  <c r="F349" i="15" s="1"/>
  <c r="G422" i="15"/>
  <c r="G345" i="15" s="1"/>
  <c r="F345" i="15" s="1"/>
  <c r="G418" i="15"/>
  <c r="G341" i="15" s="1"/>
  <c r="F341" i="15" s="1"/>
  <c r="F26" i="15" s="1"/>
  <c r="R20" i="9" s="1"/>
  <c r="G414" i="15"/>
  <c r="G337" i="15" s="1"/>
  <c r="F337" i="15" s="1"/>
  <c r="G410" i="15"/>
  <c r="G406" i="15"/>
  <c r="G329" i="15" s="1"/>
  <c r="F329" i="15" s="1"/>
  <c r="G402" i="15"/>
  <c r="G325" i="15" s="1"/>
  <c r="F325" i="15" s="1"/>
  <c r="G398" i="15"/>
  <c r="G321" i="15" s="1"/>
  <c r="F321" i="15" s="1"/>
  <c r="G394" i="15"/>
  <c r="G317" i="15" s="1"/>
  <c r="F317" i="15" s="1"/>
  <c r="G390" i="15"/>
  <c r="G313" i="15" s="1"/>
  <c r="F313" i="15" s="1"/>
  <c r="G386" i="15"/>
  <c r="G309" i="15" s="1"/>
  <c r="F309" i="15" s="1"/>
  <c r="G382" i="15"/>
  <c r="G305" i="15" s="1"/>
  <c r="F305" i="15" s="1"/>
  <c r="G378" i="15"/>
  <c r="G420" i="15"/>
  <c r="G343" i="15" s="1"/>
  <c r="F343" i="15" s="1"/>
  <c r="G388" i="15"/>
  <c r="G311" i="15" s="1"/>
  <c r="F311" i="15" s="1"/>
  <c r="G428" i="15"/>
  <c r="G351" i="15" s="1"/>
  <c r="F351" i="15" s="1"/>
  <c r="G396" i="15"/>
  <c r="G319" i="15" s="1"/>
  <c r="F319" i="15" s="1"/>
  <c r="G404" i="15"/>
  <c r="G327" i="15" s="1"/>
  <c r="F327" i="15" s="1"/>
  <c r="G432" i="15"/>
  <c r="G355" i="15" s="1"/>
  <c r="F355" i="15" s="1"/>
  <c r="G416" i="15"/>
  <c r="G339" i="15" s="1"/>
  <c r="F339" i="15" s="1"/>
  <c r="G412" i="15"/>
  <c r="G424" i="15"/>
  <c r="G347" i="15" s="1"/>
  <c r="F347" i="15" s="1"/>
  <c r="G436" i="15"/>
  <c r="G359" i="15" s="1"/>
  <c r="F359" i="15" s="1"/>
  <c r="G408" i="15"/>
  <c r="G331" i="15" s="1"/>
  <c r="F331" i="15" s="1"/>
  <c r="G380" i="15"/>
  <c r="G303" i="15" s="1"/>
  <c r="F303" i="15" s="1"/>
  <c r="G392" i="15"/>
  <c r="G315" i="15" s="1"/>
  <c r="F315" i="15" s="1"/>
  <c r="G400" i="15"/>
  <c r="G323" i="15" s="1"/>
  <c r="F323" i="15" s="1"/>
  <c r="G384" i="15"/>
  <c r="G307" i="15" s="1"/>
  <c r="F307" i="15" s="1"/>
  <c r="G207" i="15"/>
  <c r="E6" i="17" l="1"/>
  <c r="F20" i="17"/>
  <c r="F19" i="17"/>
  <c r="F18" i="17"/>
  <c r="E85" i="17"/>
  <c r="E101" i="17"/>
  <c r="E80" i="17"/>
  <c r="E83" i="17"/>
  <c r="E102" i="17"/>
  <c r="E81" i="17"/>
  <c r="E84" i="17"/>
  <c r="E82" i="17"/>
  <c r="G353" i="15"/>
  <c r="F353" i="15" s="1"/>
  <c r="G358" i="15"/>
  <c r="F358" i="15" s="1"/>
  <c r="K6" i="16"/>
  <c r="G304" i="15"/>
  <c r="F304" i="15" s="1"/>
  <c r="E5" i="17"/>
  <c r="F12" i="17"/>
  <c r="C437" i="15"/>
  <c r="G335" i="15"/>
  <c r="F335" i="15" s="1"/>
  <c r="G437" i="15"/>
  <c r="G301" i="15"/>
  <c r="G333" i="15"/>
  <c r="F333" i="15" s="1"/>
  <c r="G306" i="15"/>
  <c r="F306" i="15" s="1"/>
  <c r="G338" i="15"/>
  <c r="F338" i="15" s="1"/>
  <c r="G312" i="15"/>
  <c r="F312" i="15" s="1"/>
  <c r="G344" i="15"/>
  <c r="F344" i="15" s="1"/>
  <c r="K15" i="16"/>
  <c r="F5" i="16"/>
  <c r="G21" i="16"/>
  <c r="G20" i="16"/>
  <c r="G22" i="16"/>
  <c r="G14" i="16"/>
  <c r="G360" i="15" l="1"/>
  <c r="F301" i="15"/>
  <c r="F360" i="15" s="1"/>
  <c r="C64" i="17"/>
  <c r="F80" i="17"/>
  <c r="B61" i="17" s="1"/>
  <c r="C61" i="17"/>
  <c r="F82" i="17"/>
  <c r="B63" i="17" s="1"/>
  <c r="C63" i="17"/>
  <c r="C65" i="17"/>
  <c r="F84" i="17"/>
  <c r="B65" i="17" s="1"/>
  <c r="F7" i="16"/>
  <c r="K5" i="16"/>
  <c r="E94" i="17"/>
  <c r="E99" i="17"/>
  <c r="E91" i="17"/>
  <c r="E96" i="17"/>
  <c r="E88" i="17"/>
  <c r="E93" i="17"/>
  <c r="E98" i="17"/>
  <c r="E90" i="17"/>
  <c r="E95" i="17"/>
  <c r="E87" i="17"/>
  <c r="C66" i="17"/>
  <c r="E92" i="17"/>
  <c r="F85" i="17"/>
  <c r="B66" i="17" s="1"/>
  <c r="E89" i="17"/>
  <c r="E97" i="17"/>
  <c r="E7" i="17"/>
  <c r="F6" i="17" s="1"/>
  <c r="F5" i="17"/>
  <c r="C62" i="17"/>
  <c r="F81" i="17"/>
  <c r="B62" i="17" s="1"/>
  <c r="E110" i="17"/>
  <c r="F108" i="17" s="1"/>
  <c r="B69" i="17" s="1"/>
  <c r="F101" i="17"/>
  <c r="C67" i="17"/>
  <c r="E104" i="17"/>
  <c r="E106" i="17"/>
  <c r="F102" i="17"/>
  <c r="B68" i="17" s="1"/>
  <c r="E105" i="17"/>
  <c r="C68" i="17"/>
  <c r="E107" i="17" l="1"/>
  <c r="F9" i="16"/>
  <c r="K7" i="16"/>
  <c r="G6" i="16"/>
  <c r="G5" i="16"/>
  <c r="F83" i="17"/>
  <c r="B64" i="17" s="1"/>
  <c r="B71" i="17" s="1"/>
  <c r="E100" i="17"/>
  <c r="C71" i="17"/>
  <c r="B67" i="17"/>
  <c r="F110" i="17" l="1"/>
</calcChain>
</file>

<file path=xl/sharedStrings.xml><?xml version="1.0" encoding="utf-8"?>
<sst xmlns="http://schemas.openxmlformats.org/spreadsheetml/2006/main" count="1603" uniqueCount="359">
  <si>
    <t xml:space="preserve">For the Month of    </t>
  </si>
  <si>
    <t>Subaccount</t>
  </si>
  <si>
    <t>Subaccount Distribution
Statewide Per SB1020</t>
  </si>
  <si>
    <t>% Of Distribution</t>
  </si>
  <si>
    <t>Statewide Estimate per Actual Receipts to Date</t>
  </si>
  <si>
    <t>Estimate vs Allocation Variance</t>
  </si>
  <si>
    <t>Statewide Allocation per SB1020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</si>
  <si>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</si>
  <si>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</si>
  <si>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</si>
  <si>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</si>
  <si>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</si>
  <si>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</si>
  <si>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</si>
  <si>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</si>
  <si>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</si>
  <si>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</si>
  <si>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</si>
  <si>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</si>
  <si>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BASED ON RECEIPTS THROUGH:</t>
  </si>
  <si>
    <t>STATEWIDE MONTHLY RECEIPTS - SUPPORT SERVICES ACCOUNT</t>
  </si>
  <si>
    <t>SUBACCOUNT</t>
  </si>
  <si>
    <t>SUBACCT DISTRIBUTION</t>
  </si>
  <si>
    <t>WCRTS</t>
  </si>
  <si>
    <t>TOTAL SUPPORT SVCS RECEIPTS</t>
  </si>
  <si>
    <t>FOR CALCULATIONS</t>
  </si>
  <si>
    <t>DO NOT DELETE</t>
  </si>
  <si>
    <t>% TO DATE</t>
  </si>
  <si>
    <t>AB 12</t>
  </si>
  <si>
    <t>Foster Care Administration</t>
  </si>
  <si>
    <t>Adult Protective Services</t>
  </si>
  <si>
    <t>Contract Svcs Acct - Santa Clara</t>
  </si>
  <si>
    <t>Adoption Assistance Program</t>
  </si>
  <si>
    <t>Foster Care (Assistance)****</t>
  </si>
  <si>
    <t>Adoptions (Admin)</t>
  </si>
  <si>
    <t xml:space="preserve">Child Abuse Prevention (CAPIT) </t>
  </si>
  <si>
    <t>Child Welfare Services</t>
  </si>
  <si>
    <t>PROGRAM</t>
  </si>
  <si>
    <t>STATEWIDE % DIST BASED ON CFL 12/13-16</t>
  </si>
  <si>
    <t>STATEWIDE DISTRIBUTION TO PROGRAMS</t>
  </si>
  <si>
    <t>PROTECTIVE SERVICES SUBACCOUNT DETAIL</t>
  </si>
  <si>
    <t>TOTAL</t>
  </si>
  <si>
    <t>SUBACCT % DISTRIBUTION</t>
  </si>
  <si>
    <t>BEHAVIORAL HEALTH SUBACCOUNT DETAIL</t>
  </si>
  <si>
    <t>Substance Abuse Fund</t>
  </si>
  <si>
    <t>Mental Health Fund</t>
  </si>
  <si>
    <t>PLEASE DO NOT ENTER ANYTHING BELOW THIS LINE. THANK YOU</t>
  </si>
  <si>
    <t>WCRTS SUBACCOUNT DETAIL</t>
  </si>
  <si>
    <t>Emancipated Youth Stipend</t>
  </si>
  <si>
    <t>STOP</t>
  </si>
  <si>
    <t>Group Home Monthly Visit</t>
  </si>
  <si>
    <t>ILP</t>
  </si>
  <si>
    <t>Foster Parent Training &amp; Recruitment</t>
  </si>
  <si>
    <t>Kinship Foster Care Emer. Fund</t>
  </si>
  <si>
    <t>State Family Preservation</t>
  </si>
  <si>
    <t>Subtance Abuse/HIV Infant Program</t>
  </si>
  <si>
    <t>CWSOIP/DR/SA/PYS</t>
  </si>
  <si>
    <t>CWSOIP - Probation</t>
  </si>
  <si>
    <t>Kinship Suport Services Program</t>
  </si>
  <si>
    <t>THPP &amp; THP-Plus</t>
  </si>
  <si>
    <t>CWS Basic &amp; Augmentation</t>
  </si>
  <si>
    <t>EA Foster Care</t>
  </si>
  <si>
    <t>FEDGAP Admin</t>
  </si>
  <si>
    <t>Drug Medi-Cal</t>
  </si>
  <si>
    <t>NonDrug Medi-Cal</t>
  </si>
  <si>
    <t>Drug Court</t>
  </si>
  <si>
    <t>EPSDT</t>
  </si>
  <si>
    <t>Medical Managed Care</t>
  </si>
  <si>
    <t>Healthy Families</t>
  </si>
  <si>
    <t>Katie A. Services</t>
  </si>
  <si>
    <t>EPSDT Base Allocation</t>
  </si>
  <si>
    <t>Breakdown of SUBSTANCE ABUSE FUND by Component</t>
  </si>
  <si>
    <t>Breakdown of FOSTER CARE ADMINISTRATION by Component</t>
  </si>
  <si>
    <t>Breakdown of CHILD WELFARE SERVICES by Component</t>
  </si>
  <si>
    <t>Breakdown of MENTAL HEALTH FUND by Component</t>
  </si>
  <si>
    <t>Breakdown of EPSDT by Component</t>
  </si>
  <si>
    <t>TOTAL EPSDT</t>
  </si>
  <si>
    <t>TOTAL SUBSTANCE ABUSE</t>
  </si>
  <si>
    <t>TOTAL MENTAL HEALTH</t>
  </si>
  <si>
    <t>TOTAL BEHAVIORAL HEALTH</t>
  </si>
  <si>
    <t>TOTAL CHILD WELFARE SERVICES</t>
  </si>
  <si>
    <t>TOTAL FC ADMINISTRATION</t>
  </si>
  <si>
    <t>STATEWIDE MONTHLY RECEIPTS - LAW ENFORCEMENT SERVICES ACCOUNT</t>
  </si>
  <si>
    <t>PROTECTIVE SERVICES</t>
  </si>
  <si>
    <t>BEHAVIORAL HEALTH</t>
  </si>
  <si>
    <t>TRIAL COURT SECURITY</t>
  </si>
  <si>
    <t>COMMUNITY CORRECTIONS</t>
  </si>
  <si>
    <t>DA &amp; PUBLIC DEFENDER</t>
  </si>
  <si>
    <t>WCRTS (FIXED AMT)</t>
  </si>
  <si>
    <t>TOTAL SS AND LAW ENFORCE</t>
  </si>
  <si>
    <t>FORECAST MODEL - LOCAL REVENUE FUND 2011</t>
  </si>
  <si>
    <t>TOTAL LAW ENF SVC RECEIPTS</t>
  </si>
  <si>
    <t>TOTAL SS AND LAW ENF SVC</t>
  </si>
  <si>
    <t>% To Total LRF</t>
  </si>
  <si>
    <t>STATEWIDE RECEIPTS - SUPPORT SERVICES ACCOUNT</t>
  </si>
  <si>
    <t>TOTAL PROTECTIVE SERVICE</t>
  </si>
  <si>
    <t>% Of Distribution (Per SB1020)</t>
  </si>
  <si>
    <t>COUNTY:</t>
  </si>
  <si>
    <t>SUPPORT SERVICES ACCOUNT</t>
  </si>
  <si>
    <t>LAW ENFORCEMENT SERVICES ACCOUNT</t>
  </si>
  <si>
    <t>FISCAL YEAR:</t>
  </si>
  <si>
    <t>% To Total Local Revenue Fund 2011</t>
  </si>
  <si>
    <t>TOTAL PROTECTIVE SVC</t>
  </si>
  <si>
    <t>COUNTY PORTION</t>
  </si>
  <si>
    <t>PLEASE DO NOT INPUT ANYTHING ON THIS PAGE. THANK YOU.</t>
  </si>
  <si>
    <t>JUVENILE JUSTICE</t>
  </si>
  <si>
    <t>STATEWIDE % DIST BASED ON SPREADSHEET</t>
  </si>
  <si>
    <t>STATEWIDE RECEIPTS - LAW ENFORCEMENT SERVICES ACCOUNT</t>
  </si>
  <si>
    <t>TOTAL CTY LAW ENF SVC RECEIPTS</t>
  </si>
  <si>
    <t>TOTAL CTY SUPPORT SVCS RECEIPTS</t>
  </si>
  <si>
    <t>PROP 172 RATIOS</t>
  </si>
  <si>
    <t>PROP 172 %</t>
  </si>
  <si>
    <t>About the Workbook:</t>
  </si>
  <si>
    <t>2. The left side is Statewide distribution information, the right side is County information.</t>
  </si>
  <si>
    <t>Monthly Receipts Input sheet:</t>
  </si>
  <si>
    <r>
      <t xml:space="preserve">1. The figures in </t>
    </r>
    <r>
      <rPr>
        <b/>
        <sz val="12"/>
        <color indexed="12"/>
        <rFont val="Times New Roman"/>
        <family val="1"/>
      </rPr>
      <t xml:space="preserve">Blue Bold font </t>
    </r>
    <r>
      <rPr>
        <sz val="12"/>
        <color indexed="8"/>
        <rFont val="Times New Roman"/>
        <family val="1"/>
      </rPr>
      <t>are the required information that need to be populated each month</t>
    </r>
  </si>
  <si>
    <t>2. Click on any of the Sub accounts to get to the LRF 2011 reconciliation page which shows the Statewide monthly receipts</t>
  </si>
  <si>
    <t>Statewide Forecast Model sheet:</t>
  </si>
  <si>
    <t>County Dist Support Svc Acct sheet:</t>
  </si>
  <si>
    <t>1. Shows county portion of Support Service receipts and distribution to programs based on information entered on the input sheets</t>
  </si>
  <si>
    <t>County Distribution Law Enf sheet:</t>
  </si>
  <si>
    <t>1. Shows county portion of Law Enforcement Account receipts based on information entered on the input sheets</t>
  </si>
  <si>
    <t>Behavioral Health Distribution</t>
  </si>
  <si>
    <t>4. Sources:</t>
  </si>
  <si>
    <t>1. Shows actual receipts to date and compares Statewide allocation vs estimate (based on Prop 172 percentage)</t>
  </si>
  <si>
    <t>REALIGNMENT - STATEWIDE LOCAL REVENUE FUND 2011</t>
  </si>
  <si>
    <t>On cell D1, input the MONTH</t>
  </si>
  <si>
    <t>DO NOT ENTER ANYTHING ELSE BELOW OR IN THE FOLLOWING TABS</t>
  </si>
  <si>
    <t>Complete lines 5-7 and 14-17 of the corresponding month</t>
  </si>
  <si>
    <t>Verify that the totals in the bottom portion match with your entries</t>
  </si>
  <si>
    <t>Go to County Dist Support Svc Acct tab, compare the distribution totals with the AB 118 Analysis file</t>
  </si>
  <si>
    <t>Print a copy of the Statewide Forcast Model tab for Robert</t>
  </si>
  <si>
    <t>FREQUENCY/SCHEDULE:</t>
  </si>
  <si>
    <t>Monthly - End of the Month</t>
  </si>
  <si>
    <t>PATH:</t>
  </si>
  <si>
    <t xml:space="preserve">SANTA CLARA -Contract Svcs </t>
  </si>
  <si>
    <t xml:space="preserve">TOTAL </t>
  </si>
  <si>
    <t>PROTECTIVE SERVICES ALLOCATION</t>
  </si>
  <si>
    <t>(EXCLUDING WCRTS)</t>
  </si>
  <si>
    <t>ALLOCATION OF SUPPORT SERVICES</t>
  </si>
  <si>
    <t>DISTRIBUTION BY COUNTY - SUPPORT SERVICES</t>
  </si>
  <si>
    <t>DISTRIBUTION BY COUNTY - LAW ENFORCEMENT ACCOUNT</t>
  </si>
  <si>
    <t>COUNTY</t>
  </si>
  <si>
    <t>STATEWIDE % DIST BASED SB 1020</t>
  </si>
  <si>
    <t>ALAMEDA COUNTY</t>
  </si>
  <si>
    <t>MARIN COUNTY</t>
  </si>
  <si>
    <t>LOS ANGELES COUNTY</t>
  </si>
  <si>
    <t>SAN DIEGO COUNTY</t>
  </si>
  <si>
    <t>SAN FRANCISCO COUNTY</t>
  </si>
  <si>
    <t>SAN JOAQUIN COUNTY</t>
  </si>
  <si>
    <t>TOTAL WCRTS</t>
  </si>
  <si>
    <t>DA/PUBLIC DEFENDER</t>
  </si>
  <si>
    <t>DISTRICT ATTY/PUBLIC DEFENDER</t>
  </si>
  <si>
    <t>ALLOCATION OF LAW ENFORCEMENT SERVICES ACCOUNT</t>
  </si>
  <si>
    <t>Youth Offender Block Grant</t>
  </si>
  <si>
    <t>Juvenile Reentry Grant</t>
  </si>
  <si>
    <t>DISTRIBUTION BY COUNTY - JUVENILE JUSTICE SUBACCOUNT</t>
  </si>
  <si>
    <t>YOUTH OFFENDER BLOCK GRANT</t>
  </si>
  <si>
    <t>JUVENILE REENTRY GRANT</t>
  </si>
  <si>
    <t>YOUTH OFFENDER BLOCK</t>
  </si>
  <si>
    <t>JUVENILE REENTRY</t>
  </si>
  <si>
    <t>GROWTH AMOUNT TO DISTRIBUTE:</t>
  </si>
  <si>
    <t>PROTECTIVE SERVICES GROWTH SPECIAL ACCT</t>
  </si>
  <si>
    <t>BEHAVIORAL HEALTH GROWTH SPECIAL ACCT</t>
  </si>
  <si>
    <t>TRIAL COURT SECURITY GROWTH SPECIAL ACCT</t>
  </si>
  <si>
    <t>COMMUNITY CORRECTIONS GROWTH SPECIAL ACCT</t>
  </si>
  <si>
    <t>DA &amp; PUBLIC DEFENDER GROWTH SPECIAL ACCT</t>
  </si>
  <si>
    <t>JUVENILE JUSTICE GROWTH SPECIAL ACCT</t>
  </si>
  <si>
    <t>% Of Growth Distribution</t>
  </si>
  <si>
    <t>MENTAL HEALTH (info only)</t>
  </si>
  <si>
    <t>TOTAL (excl Mental Health)</t>
  </si>
  <si>
    <t>TOTAL SS AND LAW ENFORCE (excluding Mental Health)</t>
  </si>
  <si>
    <t>GROWTH</t>
  </si>
  <si>
    <t>GROWTH DISTRIB</t>
  </si>
  <si>
    <t>PROP 172 % TO DATE</t>
  </si>
  <si>
    <t>GROWTH %  DIST</t>
  </si>
  <si>
    <t>SAN MATEO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</si>
  <si>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</si>
  <si>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</si>
  <si>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</si>
  <si>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</si>
  <si>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</si>
  <si>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</si>
  <si>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</si>
  <si>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</si>
  <si>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</si>
  <si>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</si>
  <si>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</si>
  <si>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</si>
  <si>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</si>
  <si>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</si>
  <si>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</si>
  <si>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</si>
  <si>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</si>
  <si>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</si>
  <si>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</si>
  <si>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</si>
  <si>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</si>
  <si>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</si>
  <si>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</si>
  <si>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</si>
  <si>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</si>
  <si>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</si>
  <si>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</si>
  <si>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</si>
  <si>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</si>
  <si>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</si>
  <si>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</si>
  <si>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</si>
  <si>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</si>
  <si>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</si>
  <si>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</si>
  <si>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</si>
  <si>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</si>
  <si>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</si>
  <si>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</si>
  <si>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</si>
  <si>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</si>
  <si>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</si>
  <si>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</si>
  <si>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</si>
  <si>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</si>
  <si>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</si>
  <si>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</si>
  <si>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</si>
  <si>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</si>
  <si>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</si>
  <si>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</si>
  <si>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</si>
  <si>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</si>
  <si>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</si>
  <si>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</si>
  <si>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</si>
  <si>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</si>
  <si>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San Mateo</t>
  </si>
  <si>
    <t xml:space="preserve">Subaccount Distribution of Growth
</t>
  </si>
  <si>
    <t>% To Total Growth</t>
  </si>
  <si>
    <t>***Allocations and Ratios Change every year***</t>
  </si>
  <si>
    <t>The first three sheets (excluding instructions, notes, and this page) are the input sheets. The last 3 are all straight up calculations.</t>
  </si>
  <si>
    <r>
      <t xml:space="preserve">1. The figures in </t>
    </r>
    <r>
      <rPr>
        <b/>
        <sz val="12"/>
        <color indexed="12"/>
        <rFont val="Times New Roman"/>
        <family val="1"/>
      </rPr>
      <t xml:space="preserve">Blue Bold font </t>
    </r>
    <r>
      <rPr>
        <sz val="12"/>
        <color indexed="8"/>
        <rFont val="Times New Roman"/>
        <family val="1"/>
      </rPr>
      <t xml:space="preserve">are the required information that need to be populated in the </t>
    </r>
    <r>
      <rPr>
        <b/>
        <sz val="12"/>
        <color indexed="8"/>
        <rFont val="Times New Roman"/>
        <family val="1"/>
      </rPr>
      <t>beginning of the year.</t>
    </r>
  </si>
  <si>
    <t>County One Time Input - BASE sheet:</t>
  </si>
  <si>
    <t>NOTE: The base amount, Distribution by Program, and by County change every year</t>
  </si>
  <si>
    <t>County One Time Input - GROWTH sheet:</t>
  </si>
  <si>
    <r>
      <t xml:space="preserve">1. The figures in </t>
    </r>
    <r>
      <rPr>
        <b/>
        <sz val="12"/>
        <color indexed="12"/>
        <rFont val="Times New Roman"/>
        <family val="1"/>
      </rPr>
      <t xml:space="preserve">Blue Bold font </t>
    </r>
    <r>
      <rPr>
        <sz val="12"/>
        <color indexed="8"/>
        <rFont val="Times New Roman"/>
        <family val="1"/>
      </rPr>
      <t xml:space="preserve">are the required information that need to be populated towards the </t>
    </r>
    <r>
      <rPr>
        <b/>
        <sz val="12"/>
        <color indexed="8"/>
        <rFont val="Times New Roman"/>
        <family val="1"/>
      </rPr>
      <t xml:space="preserve">end of the year, </t>
    </r>
  </si>
  <si>
    <t>when growth amount and distribution are determined.</t>
  </si>
  <si>
    <t>Statewide GROWTH Distribution</t>
  </si>
  <si>
    <t>Protective Services Distribution 2012-13 only</t>
  </si>
  <si>
    <t>Statewide Distribution/ Law Enforcement Distribution by County</t>
  </si>
  <si>
    <t xml:space="preserve">Protective Services GROWTH dist - </t>
  </si>
  <si>
    <t>Distribution % provided by Department of Finance</t>
  </si>
  <si>
    <t>Behavioral Health GROWTH Distribution</t>
  </si>
  <si>
    <t>Used 2012-13 distribution</t>
  </si>
  <si>
    <t>Juvenile Justice GROWTH Distribution</t>
  </si>
  <si>
    <t>Alameda</t>
  </si>
  <si>
    <t>Marin</t>
  </si>
  <si>
    <t>Los Angeles</t>
  </si>
  <si>
    <t>San Diego</t>
  </si>
  <si>
    <t>San Francisco</t>
  </si>
  <si>
    <t>San Joaquin</t>
  </si>
  <si>
    <r>
      <t xml:space="preserve">3. Enter the correct </t>
    </r>
    <r>
      <rPr>
        <sz val="12"/>
        <color indexed="12"/>
        <rFont val="Times New Roman"/>
        <family val="1"/>
      </rPr>
      <t>MONTH</t>
    </r>
    <r>
      <rPr>
        <sz val="12"/>
        <color indexed="8"/>
        <rFont val="Times New Roman"/>
        <family val="1"/>
      </rPr>
      <t xml:space="preserve"> to calculate the Prop 172/Growth Estimate correctly</t>
    </r>
  </si>
  <si>
    <t>PENDING COUNTY DISTRIB RATIO</t>
  </si>
  <si>
    <t>TO BE DETERMINED</t>
  </si>
  <si>
    <t xml:space="preserve">For Law Enforcement Services GROWTH, the County % distributions have all been left at "TBD". Once the ratios are entered,  </t>
  </si>
  <si>
    <t>the distribution amounts will be automatically calculated</t>
  </si>
  <si>
    <t>NOTES: Growth Amount and distibutions are subject to change.  We are still waiting for distribution ratios from DOF.</t>
  </si>
  <si>
    <t>SEE BELOW</t>
  </si>
  <si>
    <t>PER SB1020 30029.05</t>
  </si>
  <si>
    <r>
      <t xml:space="preserve">3. Entering the </t>
    </r>
    <r>
      <rPr>
        <sz val="12"/>
        <color indexed="12"/>
        <rFont val="Times New Roman"/>
        <family val="1"/>
      </rPr>
      <t>County Name</t>
    </r>
    <r>
      <rPr>
        <sz val="12"/>
        <color indexed="8"/>
        <rFont val="Times New Roman"/>
        <family val="1"/>
      </rPr>
      <t xml:space="preserve"> on cell C2 changes all headers to appropriate county.</t>
    </r>
  </si>
  <si>
    <r>
      <t xml:space="preserve">3. The County Information entered on the Input - BASE page </t>
    </r>
    <r>
      <rPr>
        <u/>
        <sz val="12"/>
        <color indexed="8"/>
        <rFont val="Times New Roman"/>
        <family val="1"/>
      </rPr>
      <t>automatically changes</t>
    </r>
    <r>
      <rPr>
        <sz val="12"/>
        <color indexed="8"/>
        <rFont val="Times New Roman"/>
        <family val="1"/>
      </rPr>
      <t xml:space="preserve"> the county name on the GROWTH page</t>
    </r>
  </si>
  <si>
    <r>
      <t xml:space="preserve">This also looks up and populates the County percentages based on the </t>
    </r>
    <r>
      <rPr>
        <sz val="12"/>
        <color indexed="12"/>
        <rFont val="Times New Roman"/>
        <family val="1"/>
      </rPr>
      <t>Distribution by County</t>
    </r>
    <r>
      <rPr>
        <sz val="12"/>
        <color indexed="8"/>
        <rFont val="Times New Roman"/>
        <family val="1"/>
      </rPr>
      <t xml:space="preserve"> input below the page.</t>
    </r>
  </si>
  <si>
    <r>
      <t xml:space="preserve">This also looks up and populates the County percentages based on the </t>
    </r>
    <r>
      <rPr>
        <sz val="12"/>
        <color indexed="12"/>
        <rFont val="Times New Roman"/>
        <family val="1"/>
      </rPr>
      <t>Distribution by County</t>
    </r>
    <r>
      <rPr>
        <sz val="12"/>
        <color indexed="8"/>
        <rFont val="Times New Roman"/>
        <family val="1"/>
      </rPr>
      <t xml:space="preserve"> input on the Growth page.</t>
    </r>
  </si>
  <si>
    <t>ACTUAL GROWTH</t>
  </si>
  <si>
    <t>ESTIMATED GROWTH BASED ON SW FORECAST</t>
  </si>
  <si>
    <t>PROTECTIVE SERVICES ALLOCATION 90%</t>
  </si>
  <si>
    <t>PROTECTIVE SERVICES ALLOCATION 10%</t>
  </si>
  <si>
    <t>PS GROWTH 90%</t>
  </si>
  <si>
    <t>PS GROWTH 10%</t>
  </si>
  <si>
    <t>PROTECTIVE SERVICES 90%</t>
  </si>
  <si>
    <t>PROTECTIVE SERVICES 10%</t>
  </si>
  <si>
    <t>COUNTY PROTECTIVE SVC 90%</t>
  </si>
  <si>
    <t>COUNTY PROTECTIVE SVC 10%</t>
  </si>
  <si>
    <t>GROWTH %  DIST (FOR 90% PS)</t>
  </si>
  <si>
    <t>GROWTH (INCL CWS AND 10% PS)</t>
  </si>
  <si>
    <t>NEW % FOR ENTIRE PS GROWTH</t>
  </si>
  <si>
    <t>STATEWIDE % DIST BASED ON CFL</t>
  </si>
  <si>
    <t>MANUALLY ENTER UNTIL PERCENTAGE IS CORRECT</t>
  </si>
  <si>
    <t>PENDING DISTRIBUTION</t>
  </si>
  <si>
    <t>BASED ON 13-14 ACTUAL GROWTH DIST</t>
  </si>
  <si>
    <t>ESTIMATED BASE CALCULATION FOR NEXT YEAR</t>
  </si>
  <si>
    <t>ACCOUNTS</t>
  </si>
  <si>
    <t>TOTAL ALLOC FOR NEXT YEAR</t>
  </si>
  <si>
    <t>DIST TO ACCT</t>
  </si>
  <si>
    <t>SUPPORT SERVICES</t>
  </si>
  <si>
    <t>LAW ENFORCEMENT SERVICES</t>
  </si>
  <si>
    <t>CY BASE</t>
  </si>
  <si>
    <t>CY GROWTH TO CARRY OVER</t>
  </si>
  <si>
    <t>ADD'L ALLOC</t>
  </si>
  <si>
    <t>DIST TO SUBACCT</t>
  </si>
  <si>
    <t>TOTAL SUPPORT SERVICES</t>
  </si>
  <si>
    <t>LAW ENFORCEMENT</t>
  </si>
  <si>
    <t>TOTAL LAW ENFORCEMENT</t>
  </si>
  <si>
    <t>ONE TIME DIST</t>
  </si>
  <si>
    <t>per DOF</t>
  </si>
  <si>
    <t>MENTAL HEALTH ACCT (FIXED)</t>
  </si>
  <si>
    <t>TOTAL 2011 REALIGNEMENT ALLOC</t>
  </si>
  <si>
    <t>***Allocations and Ratios Change every year. ***</t>
  </si>
  <si>
    <t>`</t>
  </si>
  <si>
    <t>% FOR NEXT YEAR</t>
  </si>
  <si>
    <t>NEXT YEARS PS BASE</t>
  </si>
  <si>
    <t>CONTRACT SVCS</t>
  </si>
  <si>
    <t>NET DIST TO PROG</t>
  </si>
  <si>
    <t>TOTAL RECEIPTS</t>
  </si>
  <si>
    <t>W/O CONTRACT%</t>
  </si>
  <si>
    <t>PROGRAM %</t>
  </si>
  <si>
    <t>BASE DISTRIBUTION</t>
  </si>
  <si>
    <t>NEW %</t>
  </si>
  <si>
    <t>DISTRIB NEXT YR</t>
  </si>
  <si>
    <t>ACTUAL BASE CALCULATION FOR NEXT YEAR</t>
  </si>
  <si>
    <t>SAME PROP AS BASE LESS CONTRACT</t>
  </si>
  <si>
    <t>DIST OF 90% PROT SVC GROWTH (SAME PROP AS BASE LESS CONTRACT)</t>
  </si>
  <si>
    <t>STATEWIDE DISTRIBUTION TO PROGRAMS (WITH 10% TO CWS)</t>
  </si>
  <si>
    <t>pg 48 SB1020</t>
  </si>
  <si>
    <t>NEW % PER DOF LETTER TO SCO</t>
  </si>
  <si>
    <t>SAME AS LAST YEAR</t>
  </si>
  <si>
    <t xml:space="preserve">PER DOF LETTER 9/8/15 </t>
  </si>
  <si>
    <r>
      <rPr>
        <b/>
        <sz val="11"/>
        <color rgb="FFFF0000"/>
        <rFont val="Calibri"/>
        <family val="2"/>
      </rPr>
      <t>ESTIMATED</t>
    </r>
    <r>
      <rPr>
        <b/>
        <sz val="11"/>
        <color indexed="8"/>
        <rFont val="Calibri"/>
        <family val="2"/>
      </rPr>
      <t xml:space="preserve"> STATEWIDE DISTRIBUTION TO PROGRAMS</t>
    </r>
  </si>
  <si>
    <t>https://sco.ca.gov/ard_payments_protectiveservices.html</t>
  </si>
  <si>
    <t>https://sco.ca.gov/ard_payments_lrf_recon.html</t>
  </si>
  <si>
    <t>Remittance</t>
  </si>
  <si>
    <t>G:\FISCAL\Realignment\20xx Realignment</t>
  </si>
  <si>
    <t>LINKS:</t>
  </si>
  <si>
    <t>Reconciliation</t>
  </si>
  <si>
    <t>Click on the Remittance Link above and choose the Fiscal Year, then under Remittance Advice, choose the month</t>
  </si>
  <si>
    <t>Search for San Mateo and print the page for just the county. Make note of payment issue date and Net Claim</t>
  </si>
  <si>
    <t>Open the latest Statewide Local Revenue Fund file</t>
  </si>
  <si>
    <t>Click on the Reconciliation Link above and choose the Fiscal Year to bring up the monthly State recon. PRINT</t>
  </si>
  <si>
    <t>Refer to the State Recon file when completing the following on the Monthly Receipts Input sheet:</t>
  </si>
  <si>
    <t>Annually - September</t>
  </si>
  <si>
    <t>COUNTY ONE TIME INPUT BASE:</t>
  </si>
  <si>
    <t>Change the Fiscal Year on cell C1</t>
  </si>
  <si>
    <t>Open Prior Year's Statewide Local Revenue Fund Initial Setup file</t>
  </si>
  <si>
    <r>
      <rPr>
        <b/>
        <sz val="10"/>
        <color indexed="8"/>
        <rFont val="Calibri"/>
        <family val="2"/>
      </rPr>
      <t>Save</t>
    </r>
    <r>
      <rPr>
        <sz val="10"/>
        <color indexed="8"/>
        <rFont val="Calibri"/>
        <family val="2"/>
      </rPr>
      <t xml:space="preserve"> using the existing naming convention, with the new Fiscal Year</t>
    </r>
  </si>
  <si>
    <r>
      <rPr>
        <b/>
        <sz val="10"/>
        <color indexed="8"/>
        <rFont val="Calibri"/>
        <family val="2"/>
      </rPr>
      <t>Save,</t>
    </r>
    <r>
      <rPr>
        <sz val="10"/>
        <color indexed="8"/>
        <rFont val="Calibri"/>
        <family val="2"/>
      </rPr>
      <t xml:space="preserve"> using the existing naming convention, using payment issue date (found on Remittance advice)</t>
    </r>
  </si>
  <si>
    <t>Open Prior Year's Statewide Local Revenue Fund AUGUST file with Growth and use as reference</t>
  </si>
  <si>
    <t>Change the Amounts in Col B (blue fonts) of Support Services and Law Enforcement (see Aug file- for next year tab)</t>
  </si>
  <si>
    <t>2017-18</t>
  </si>
  <si>
    <t>NEW RATIO IN FY 17-18</t>
  </si>
  <si>
    <r>
      <rPr>
        <sz val="11"/>
        <color rgb="FF0000FF"/>
        <rFont val="Calibri"/>
        <family val="2"/>
      </rPr>
      <t>ESTIMATED</t>
    </r>
    <r>
      <rPr>
        <sz val="11"/>
        <color indexed="8"/>
        <rFont val="Calibri"/>
        <family val="2"/>
      </rPr>
      <t xml:space="preserve"> BASE CALCULATION FOR NEXT YEAR</t>
    </r>
  </si>
  <si>
    <t>*** Below section will not be accurate until Actual Growth is input in the red tab (available @ end of August)***</t>
  </si>
  <si>
    <t>RECEIPTS THROUGH AUGUST</t>
  </si>
  <si>
    <t>San Mateo County Receipts - SUPPORT SERVICES ACCOUNT</t>
  </si>
  <si>
    <t>San Mateo County % Distribution</t>
  </si>
  <si>
    <t>San Mateo County Portion</t>
  </si>
  <si>
    <t>San Mateo County Distribution - SUPPORT SERVICES ACCOUNT</t>
  </si>
  <si>
    <t>San Mateo County % DIST (PROG/TOT PS)</t>
  </si>
  <si>
    <t>San Mateo County Distribution to Programs</t>
  </si>
  <si>
    <t>San Mateo County % Distribution (PROG/TOT BH)</t>
  </si>
  <si>
    <t>San Mateo County Portion (Distribution to Programs)</t>
  </si>
  <si>
    <t>AUGUST
with PY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</si>
</sst>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??_);_(@_)"/>
    <numFmt numFmtId="167" formatCode="0.00000000%"/>
    <numFmt numFmtId="168" formatCode="0.0000000%"/>
    <numFmt numFmtId="169" formatCode="0.0000000000"/>
    <numFmt numFmtId="170" formatCode="0.000%"/>
    <numFmt numFmtId="171" formatCode="0.0000%"/>
    <numFmt numFmtId="172" formatCode="0.00000%"/>
    <numFmt numFmtId="173" formatCode="0.000000%"/>
    <numFmt numFmtId="174" formatCode="0.000000000%"/>
    <numFmt numFmtId="175" formatCode="_(* #,##0_);_(* \(#,##0\);_(* &quot;-&quot;??_);_(@_)"/>
    <numFmt numFmtId="176" formatCode="0.00_);[Red]\(0.00\)"/>
    <numFmt numFmtId="177" formatCode="_(* #,##0.00000000_);_(* \(#,##0.00000000\);_(* &quot;-&quot;??_);_(@_)"/>
    <numFmt numFmtId="178" formatCode="_(* #,##0.000000000_);_(* \(#,##0.000000000\);_(* &quot;-&quot;??_);_(@_)"/>
    <numFmt numFmtId="179" formatCode="#,##0.0000_);[Red]\(#,##0.0000\)"/>
    <numFmt numFmtId="180" formatCode="#,##0.00000_);[Red]\(#,##0.00000\)"/>
    <numFmt numFmtId="181" formatCode="0.0000000"/>
    <numFmt numFmtId="182" formatCode="0.000000"/>
    <numFmt numFmtId="183" formatCode="0.000000000"/>
    <numFmt numFmtId="184" formatCode="0.00000"/>
    <numFmt numFmtId="185" formatCode="0.000000000000%"/>
  </numFmts>
  <fonts count="74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u/>
      <sz val="10"/>
      <color indexed="12"/>
      <name val="Arial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sz val="9"/>
      <name val="Calibri"/>
      <family val="2"/>
    </font>
    <font>
      <i/>
      <sz val="11"/>
      <color indexed="55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9"/>
      <color indexed="12"/>
      <name val="Calibri"/>
      <family val="2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8"/>
      <name val="Calibri"/>
      <family val="2"/>
    </font>
    <font>
      <sz val="11"/>
      <color indexed="12"/>
      <name val="Calibri"/>
      <family val="2"/>
    </font>
    <font>
      <sz val="12"/>
      <color indexed="10"/>
      <name val="Times New Roman"/>
      <family val="1"/>
    </font>
    <font>
      <u/>
      <sz val="10"/>
      <color indexed="10"/>
      <name val="Arial"/>
      <family val="2"/>
    </font>
    <font>
      <i/>
      <sz val="10"/>
      <color indexed="12"/>
      <name val="Calibri"/>
      <family val="2"/>
    </font>
    <font>
      <b/>
      <i/>
      <sz val="11"/>
      <color indexed="23"/>
      <name val="Calibri"/>
      <family val="2"/>
    </font>
    <font>
      <i/>
      <sz val="10"/>
      <color indexed="55"/>
      <name val="Arial"/>
      <family val="2"/>
    </font>
    <font>
      <i/>
      <sz val="10"/>
      <color indexed="55"/>
      <name val="Calibri"/>
      <family val="2"/>
    </font>
    <font>
      <i/>
      <sz val="10"/>
      <color indexed="23"/>
      <name val="Arial"/>
      <family val="2"/>
    </font>
    <font>
      <b/>
      <i/>
      <sz val="9"/>
      <color indexed="23"/>
      <name val="Calibri"/>
      <family val="2"/>
    </font>
    <font>
      <b/>
      <sz val="8"/>
      <color indexed="12"/>
      <name val="Calibri"/>
      <family val="2"/>
    </font>
    <font>
      <b/>
      <sz val="9"/>
      <name val="Calibri"/>
      <family val="2"/>
    </font>
    <font>
      <b/>
      <sz val="9"/>
      <color indexed="17"/>
      <name val="Calibri"/>
      <family val="2"/>
    </font>
    <font>
      <i/>
      <sz val="9"/>
      <color indexed="23"/>
      <name val="Calibri"/>
      <family val="2"/>
    </font>
    <font>
      <b/>
      <sz val="12"/>
      <color indexed="8"/>
      <name val="Times New Roman"/>
      <family val="1"/>
    </font>
    <font>
      <sz val="9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Calibri"/>
      <family val="2"/>
    </font>
    <font>
      <sz val="12"/>
      <color indexed="12"/>
      <name val="Times New Roman"/>
      <family val="1"/>
    </font>
    <font>
      <u/>
      <sz val="11"/>
      <color indexed="12"/>
      <name val="Arial"/>
      <family val="2"/>
    </font>
    <font>
      <i/>
      <sz val="11"/>
      <color indexed="23"/>
      <name val="Arial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sz val="10"/>
      <color indexed="10"/>
      <name val="Calibri"/>
      <family val="2"/>
    </font>
    <font>
      <i/>
      <sz val="10"/>
      <color indexed="48"/>
      <name val="Calibri"/>
      <family val="2"/>
    </font>
    <font>
      <u/>
      <sz val="12"/>
      <color indexed="8"/>
      <name val="Times New Roman"/>
      <family val="1"/>
    </font>
    <font>
      <i/>
      <sz val="9"/>
      <color indexed="55"/>
      <name val="Calibri"/>
      <family val="2"/>
    </font>
    <font>
      <sz val="8"/>
      <color indexed="8"/>
      <name val="Calibri"/>
      <family val="2"/>
    </font>
    <font>
      <sz val="8"/>
      <color indexed="55"/>
      <name val="Calibri"/>
      <family val="2"/>
    </font>
    <font>
      <b/>
      <sz val="9"/>
      <color indexed="10"/>
      <name val="Calibri"/>
      <family val="2"/>
    </font>
    <font>
      <b/>
      <sz val="11"/>
      <color rgb="FFFF0000"/>
      <name val="Calibri"/>
      <family val="2"/>
    </font>
    <font>
      <sz val="9"/>
      <color theme="4" tint="-0.249977111117893"/>
      <name val="Calibri"/>
      <family val="2"/>
    </font>
    <font>
      <sz val="11"/>
      <color rgb="FF0000FF"/>
      <name val="Calibri"/>
      <family val="2"/>
    </font>
    <font>
      <sz val="9"/>
      <color theme="3" tint="-0.249977111117893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31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59999389629810485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39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166" fontId="16" fillId="24" borderId="10" xfId="29" applyNumberFormat="1" applyFont="1" applyFill="1" applyBorder="1" applyAlignment="1">
      <alignment horizontal="center" vertical="center" wrapText="1"/>
    </xf>
    <xf numFmtId="0" fontId="16" fillId="24" borderId="11" xfId="0" applyFont="1" applyFill="1" applyBorder="1" applyAlignment="1">
      <alignment horizontal="center" vertical="center" wrapText="1"/>
    </xf>
    <xf numFmtId="167" fontId="1" fillId="0" borderId="12" xfId="42" applyNumberFormat="1" applyFont="1" applyBorder="1" applyAlignment="1">
      <alignment horizontal="right" vertical="center"/>
    </xf>
    <xf numFmtId="166" fontId="1" fillId="0" borderId="12" xfId="29" applyNumberFormat="1" applyFont="1" applyFill="1" applyBorder="1" applyAlignment="1">
      <alignment horizontal="left" vertical="center" wrapText="1"/>
    </xf>
    <xf numFmtId="38" fontId="1" fillId="0" borderId="12" xfId="29" applyNumberFormat="1" applyFont="1" applyFill="1" applyBorder="1"/>
    <xf numFmtId="38" fontId="0" fillId="0" borderId="13" xfId="0" applyNumberFormat="1" applyBorder="1" applyAlignment="1">
      <alignment horizontal="right" vertical="center" wrapText="1"/>
    </xf>
    <xf numFmtId="38" fontId="1" fillId="0" borderId="14" xfId="29" applyNumberFormat="1" applyFont="1" applyFill="1" applyBorder="1"/>
    <xf numFmtId="38" fontId="0" fillId="0" borderId="15" xfId="0" applyNumberFormat="1" applyBorder="1" applyAlignment="1">
      <alignment horizontal="right" vertical="center" wrapText="1"/>
    </xf>
    <xf numFmtId="166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69" fontId="0" fillId="25" borderId="0" xfId="0" applyNumberFormat="1" applyFill="1"/>
    <xf numFmtId="38" fontId="0" fillId="0" borderId="0" xfId="0" applyNumberFormat="1" applyAlignment="1">
      <alignment horizontal="right" vertical="center" wrapText="1"/>
    </xf>
    <xf numFmtId="169" fontId="0" fillId="25" borderId="16" xfId="0" applyNumberFormat="1" applyFill="1" applyBorder="1"/>
    <xf numFmtId="169" fontId="0" fillId="0" borderId="0" xfId="0" applyNumberFormat="1" applyAlignment="1">
      <alignment horizontal="left" vertical="center" wrapText="1"/>
    </xf>
    <xf numFmtId="38" fontId="1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/>
    </xf>
    <xf numFmtId="0" fontId="16" fillId="0" borderId="0" xfId="0" applyFont="1"/>
    <xf numFmtId="166" fontId="16" fillId="0" borderId="17" xfId="29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/>
    <xf numFmtId="166" fontId="16" fillId="26" borderId="17" xfId="29" applyNumberFormat="1" applyFont="1" applyFill="1" applyBorder="1" applyAlignment="1">
      <alignment horizontal="center" vertical="center" wrapText="1"/>
    </xf>
    <xf numFmtId="166" fontId="16" fillId="26" borderId="18" xfId="29" applyNumberFormat="1" applyFont="1" applyFill="1" applyBorder="1" applyAlignment="1">
      <alignment horizontal="center" vertical="center" wrapText="1"/>
    </xf>
    <xf numFmtId="0" fontId="0" fillId="26" borderId="19" xfId="0" applyFill="1" applyBorder="1"/>
    <xf numFmtId="0" fontId="0" fillId="26" borderId="11" xfId="0" applyFill="1" applyBorder="1"/>
    <xf numFmtId="166" fontId="1" fillId="0" borderId="20" xfId="29" applyNumberFormat="1" applyFont="1" applyBorder="1" applyAlignment="1">
      <alignment horizontal="left" vertical="center" wrapText="1"/>
    </xf>
    <xf numFmtId="40" fontId="16" fillId="0" borderId="21" xfId="0" applyNumberFormat="1" applyFont="1" applyBorder="1" applyAlignment="1">
      <alignment horizontal="right" vertical="center" wrapText="1"/>
    </xf>
    <xf numFmtId="40" fontId="16" fillId="0" borderId="22" xfId="0" applyNumberFormat="1" applyFont="1" applyBorder="1" applyAlignment="1">
      <alignment horizontal="right" vertical="center" wrapText="1"/>
    </xf>
    <xf numFmtId="0" fontId="0" fillId="24" borderId="0" xfId="0" applyFill="1"/>
    <xf numFmtId="169" fontId="0" fillId="24" borderId="0" xfId="0" applyNumberFormat="1" applyFill="1"/>
    <xf numFmtId="166" fontId="0" fillId="0" borderId="0" xfId="0" applyNumberFormat="1"/>
    <xf numFmtId="0" fontId="1" fillId="26" borderId="23" xfId="0" applyFont="1" applyFill="1" applyBorder="1"/>
    <xf numFmtId="0" fontId="0" fillId="26" borderId="24" xfId="0" applyFill="1" applyBorder="1" applyAlignment="1">
      <alignment wrapText="1"/>
    </xf>
    <xf numFmtId="0" fontId="0" fillId="26" borderId="24" xfId="0" applyFill="1" applyBorder="1" applyAlignment="1">
      <alignment horizontal="center"/>
    </xf>
    <xf numFmtId="0" fontId="0" fillId="26" borderId="25" xfId="0" applyFill="1" applyBorder="1" applyAlignment="1">
      <alignment horizontal="center"/>
    </xf>
    <xf numFmtId="166" fontId="16" fillId="26" borderId="24" xfId="29" applyNumberFormat="1" applyFont="1" applyFill="1" applyBorder="1" applyAlignment="1">
      <alignment horizontal="center" vertical="center" wrapText="1"/>
    </xf>
    <xf numFmtId="166" fontId="1" fillId="0" borderId="26" xfId="29" applyNumberFormat="1" applyFont="1" applyFill="1" applyBorder="1" applyAlignment="1">
      <alignment horizontal="left" vertical="center" wrapText="1"/>
    </xf>
    <xf numFmtId="38" fontId="1" fillId="0" borderId="27" xfId="29" applyNumberFormat="1" applyFont="1" applyFill="1" applyBorder="1"/>
    <xf numFmtId="38" fontId="0" fillId="0" borderId="28" xfId="0" applyNumberForma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40" fontId="16" fillId="0" borderId="29" xfId="0" applyNumberFormat="1" applyFont="1" applyBorder="1" applyAlignment="1">
      <alignment horizontal="right" vertical="center" wrapText="1"/>
    </xf>
    <xf numFmtId="0" fontId="22" fillId="0" borderId="17" xfId="0" applyFont="1" applyBorder="1" applyAlignment="1">
      <alignment horizontal="left" vertical="center" wrapText="1"/>
    </xf>
    <xf numFmtId="167" fontId="0" fillId="0" borderId="24" xfId="0" applyNumberFormat="1" applyBorder="1"/>
    <xf numFmtId="166" fontId="0" fillId="0" borderId="24" xfId="0" applyNumberFormat="1" applyBorder="1" applyAlignment="1">
      <alignment horizontal="left" vertical="center" wrapText="1"/>
    </xf>
    <xf numFmtId="40" fontId="23" fillId="0" borderId="19" xfId="0" applyNumberFormat="1" applyFont="1" applyBorder="1"/>
    <xf numFmtId="40" fontId="23" fillId="0" borderId="11" xfId="0" applyNumberFormat="1" applyFont="1" applyBorder="1"/>
    <xf numFmtId="0" fontId="0" fillId="0" borderId="23" xfId="0" applyBorder="1"/>
    <xf numFmtId="10" fontId="0" fillId="0" borderId="24" xfId="0" applyNumberFormat="1" applyBorder="1"/>
    <xf numFmtId="0" fontId="16" fillId="0" borderId="24" xfId="0" applyFont="1" applyBorder="1" applyAlignment="1">
      <alignment horizontal="center" wrapText="1"/>
    </xf>
    <xf numFmtId="0" fontId="16" fillId="0" borderId="17" xfId="0" applyFont="1" applyFill="1" applyBorder="1" applyAlignment="1">
      <alignment horizontal="center" wrapText="1"/>
    </xf>
    <xf numFmtId="175" fontId="0" fillId="0" borderId="24" xfId="0" applyNumberFormat="1" applyBorder="1"/>
    <xf numFmtId="0" fontId="17" fillId="0" borderId="0" xfId="0" applyFont="1"/>
    <xf numFmtId="0" fontId="25" fillId="0" borderId="0" xfId="0" applyFont="1"/>
    <xf numFmtId="166" fontId="0" fillId="0" borderId="24" xfId="0" applyNumberFormat="1" applyBorder="1"/>
    <xf numFmtId="40" fontId="21" fillId="0" borderId="24" xfId="0" applyNumberFormat="1" applyFont="1" applyBorder="1"/>
    <xf numFmtId="40" fontId="21" fillId="0" borderId="25" xfId="0" applyNumberFormat="1" applyFont="1" applyBorder="1"/>
    <xf numFmtId="37" fontId="1" fillId="0" borderId="24" xfId="28" applyNumberFormat="1" applyBorder="1"/>
    <xf numFmtId="39" fontId="1" fillId="0" borderId="24" xfId="28" applyNumberFormat="1" applyBorder="1"/>
    <xf numFmtId="37" fontId="1" fillId="0" borderId="25" xfId="28" applyNumberFormat="1" applyBorder="1"/>
    <xf numFmtId="166" fontId="19" fillId="27" borderId="23" xfId="29" applyNumberFormat="1" applyFont="1" applyFill="1" applyBorder="1"/>
    <xf numFmtId="166" fontId="19" fillId="27" borderId="24" xfId="29" applyNumberFormat="1" applyFont="1" applyFill="1" applyBorder="1"/>
    <xf numFmtId="37" fontId="1" fillId="27" borderId="24" xfId="28" applyNumberFormat="1" applyFill="1" applyBorder="1"/>
    <xf numFmtId="39" fontId="1" fillId="27" borderId="24" xfId="28" applyNumberFormat="1" applyFill="1" applyBorder="1"/>
    <xf numFmtId="39" fontId="21" fillId="27" borderId="24" xfId="28" applyNumberFormat="1" applyFont="1" applyFill="1" applyBorder="1"/>
    <xf numFmtId="39" fontId="21" fillId="27" borderId="25" xfId="28" applyNumberFormat="1" applyFont="1" applyFill="1" applyBorder="1"/>
    <xf numFmtId="174" fontId="1" fillId="27" borderId="0" xfId="42" applyNumberFormat="1" applyFont="1" applyFill="1" applyBorder="1" applyAlignment="1">
      <alignment vertical="top" wrapText="1"/>
    </xf>
    <xf numFmtId="37" fontId="1" fillId="27" borderId="0" xfId="28" applyNumberFormat="1" applyFill="1" applyBorder="1"/>
    <xf numFmtId="39" fontId="1" fillId="27" borderId="0" xfId="28" applyNumberFormat="1" applyFill="1" applyBorder="1"/>
    <xf numFmtId="39" fontId="21" fillId="27" borderId="0" xfId="28" applyNumberFormat="1" applyFont="1" applyFill="1" applyBorder="1"/>
    <xf numFmtId="39" fontId="21" fillId="27" borderId="30" xfId="28" applyNumberFormat="1" applyFont="1" applyFill="1" applyBorder="1"/>
    <xf numFmtId="166" fontId="1" fillId="27" borderId="31" xfId="29" applyNumberFormat="1" applyFont="1" applyFill="1" applyBorder="1"/>
    <xf numFmtId="174" fontId="1" fillId="27" borderId="24" xfId="42" applyNumberFormat="1" applyFont="1" applyFill="1" applyBorder="1" applyAlignment="1">
      <alignment vertical="top" wrapText="1"/>
    </xf>
    <xf numFmtId="37" fontId="1" fillId="27" borderId="25" xfId="28" applyNumberFormat="1" applyFill="1" applyBorder="1"/>
    <xf numFmtId="175" fontId="21" fillId="0" borderId="24" xfId="0" applyNumberFormat="1" applyFont="1" applyBorder="1"/>
    <xf numFmtId="175" fontId="21" fillId="0" borderId="25" xfId="0" applyNumberFormat="1" applyFont="1" applyBorder="1"/>
    <xf numFmtId="0" fontId="27" fillId="0" borderId="0" xfId="0" applyFont="1"/>
    <xf numFmtId="176" fontId="28" fillId="28" borderId="0" xfId="0" applyNumberFormat="1" applyFont="1" applyFill="1" applyBorder="1" applyAlignment="1">
      <alignment horizontal="center"/>
    </xf>
    <xf numFmtId="174" fontId="28" fillId="28" borderId="0" xfId="0" applyNumberFormat="1" applyFont="1" applyFill="1" applyBorder="1" applyAlignment="1">
      <alignment horizontal="center"/>
    </xf>
    <xf numFmtId="176" fontId="28" fillId="28" borderId="0" xfId="0" applyNumberFormat="1" applyFont="1" applyFill="1" applyBorder="1" applyAlignment="1">
      <alignment horizontal="right"/>
    </xf>
    <xf numFmtId="176" fontId="29" fillId="28" borderId="32" xfId="0" applyNumberFormat="1" applyFont="1" applyFill="1" applyBorder="1" applyAlignment="1">
      <alignment horizontal="left"/>
    </xf>
    <xf numFmtId="176" fontId="26" fillId="28" borderId="32" xfId="0" applyNumberFormat="1" applyFont="1" applyFill="1" applyBorder="1" applyAlignment="1">
      <alignment horizontal="center"/>
    </xf>
    <xf numFmtId="176" fontId="26" fillId="28" borderId="33" xfId="0" applyNumberFormat="1" applyFont="1" applyFill="1" applyBorder="1" applyAlignment="1">
      <alignment horizontal="center"/>
    </xf>
    <xf numFmtId="176" fontId="26" fillId="28" borderId="34" xfId="0" applyNumberFormat="1" applyFont="1" applyFill="1" applyBorder="1" applyAlignment="1">
      <alignment horizontal="center"/>
    </xf>
    <xf numFmtId="176" fontId="30" fillId="28" borderId="31" xfId="0" applyNumberFormat="1" applyFont="1" applyFill="1" applyBorder="1" applyAlignment="1">
      <alignment horizontal="right"/>
    </xf>
    <xf numFmtId="176" fontId="28" fillId="28" borderId="30" xfId="0" applyNumberFormat="1" applyFont="1" applyFill="1" applyBorder="1" applyAlignment="1">
      <alignment horizontal="right"/>
    </xf>
    <xf numFmtId="176" fontId="26" fillId="28" borderId="35" xfId="0" applyNumberFormat="1" applyFont="1" applyFill="1" applyBorder="1" applyAlignment="1">
      <alignment horizontal="right"/>
    </xf>
    <xf numFmtId="174" fontId="28" fillId="28" borderId="36" xfId="0" applyNumberFormat="1" applyFont="1" applyFill="1" applyBorder="1" applyAlignment="1">
      <alignment horizontal="right"/>
    </xf>
    <xf numFmtId="176" fontId="30" fillId="28" borderId="37" xfId="0" applyNumberFormat="1" applyFont="1" applyFill="1" applyBorder="1" applyAlignment="1">
      <alignment horizontal="right"/>
    </xf>
    <xf numFmtId="174" fontId="28" fillId="28" borderId="16" xfId="0" applyNumberFormat="1" applyFont="1" applyFill="1" applyBorder="1" applyAlignment="1">
      <alignment horizontal="center"/>
    </xf>
    <xf numFmtId="176" fontId="28" fillId="28" borderId="16" xfId="0" applyNumberFormat="1" applyFont="1" applyFill="1" applyBorder="1" applyAlignment="1">
      <alignment horizontal="right"/>
    </xf>
    <xf numFmtId="176" fontId="28" fillId="28" borderId="38" xfId="0" applyNumberFormat="1" applyFont="1" applyFill="1" applyBorder="1" applyAlignment="1">
      <alignment horizontal="right"/>
    </xf>
    <xf numFmtId="176" fontId="28" fillId="28" borderId="36" xfId="0" applyNumberFormat="1" applyFont="1" applyFill="1" applyBorder="1" applyAlignment="1">
      <alignment horizontal="right"/>
    </xf>
    <xf numFmtId="176" fontId="28" fillId="28" borderId="39" xfId="0" applyNumberFormat="1" applyFont="1" applyFill="1" applyBorder="1" applyAlignment="1">
      <alignment horizontal="right"/>
    </xf>
    <xf numFmtId="166" fontId="22" fillId="27" borderId="23" xfId="29" applyNumberFormat="1" applyFont="1" applyFill="1" applyBorder="1" applyAlignment="1">
      <alignment horizontal="right"/>
    </xf>
    <xf numFmtId="40" fontId="16" fillId="0" borderId="17" xfId="0" applyNumberFormat="1" applyFont="1" applyBorder="1" applyAlignment="1">
      <alignment horizontal="right" vertical="center" wrapText="1"/>
    </xf>
    <xf numFmtId="178" fontId="0" fillId="0" borderId="0" xfId="0" applyNumberFormat="1"/>
    <xf numFmtId="0" fontId="31" fillId="26" borderId="10" xfId="0" applyFont="1" applyFill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167" fontId="0" fillId="0" borderId="0" xfId="0" applyNumberFormat="1" applyBorder="1"/>
    <xf numFmtId="166" fontId="0" fillId="0" borderId="0" xfId="0" applyNumberFormat="1" applyBorder="1" applyAlignment="1">
      <alignment horizontal="left" vertical="center" wrapText="1"/>
    </xf>
    <xf numFmtId="40" fontId="16" fillId="0" borderId="0" xfId="0" applyNumberFormat="1" applyFont="1" applyBorder="1" applyAlignment="1">
      <alignment horizontal="right" vertical="center" wrapText="1"/>
    </xf>
    <xf numFmtId="40" fontId="23" fillId="0" borderId="0" xfId="0" applyNumberFormat="1" applyFont="1" applyBorder="1"/>
    <xf numFmtId="166" fontId="16" fillId="29" borderId="17" xfId="29" applyNumberFormat="1" applyFont="1" applyFill="1" applyBorder="1" applyAlignment="1">
      <alignment horizontal="center" vertical="center" wrapText="1"/>
    </xf>
    <xf numFmtId="166" fontId="16" fillId="29" borderId="24" xfId="29" applyNumberFormat="1" applyFont="1" applyFill="1" applyBorder="1" applyAlignment="1">
      <alignment horizontal="center" vertical="center" wrapText="1"/>
    </xf>
    <xf numFmtId="0" fontId="0" fillId="29" borderId="19" xfId="0" applyFill="1" applyBorder="1"/>
    <xf numFmtId="0" fontId="0" fillId="29" borderId="11" xfId="0" applyFill="1" applyBorder="1"/>
    <xf numFmtId="166" fontId="16" fillId="30" borderId="17" xfId="29" applyNumberFormat="1" applyFont="1" applyFill="1" applyBorder="1" applyAlignment="1">
      <alignment horizontal="center" vertical="center" wrapText="1"/>
    </xf>
    <xf numFmtId="166" fontId="16" fillId="30" borderId="18" xfId="29" applyNumberFormat="1" applyFont="1" applyFill="1" applyBorder="1" applyAlignment="1">
      <alignment horizontal="center" vertical="center" wrapText="1"/>
    </xf>
    <xf numFmtId="0" fontId="0" fillId="30" borderId="19" xfId="0" applyFill="1" applyBorder="1"/>
    <xf numFmtId="0" fontId="0" fillId="30" borderId="11" xfId="0" applyFill="1" applyBorder="1"/>
    <xf numFmtId="0" fontId="24" fillId="0" borderId="31" xfId="36" applyBorder="1" applyAlignment="1" applyProtection="1"/>
    <xf numFmtId="0" fontId="24" fillId="0" borderId="41" xfId="36" applyBorder="1" applyAlignment="1" applyProtection="1"/>
    <xf numFmtId="179" fontId="16" fillId="0" borderId="0" xfId="0" applyNumberFormat="1" applyFont="1" applyBorder="1" applyAlignment="1">
      <alignment horizontal="right" vertical="center" wrapText="1"/>
    </xf>
    <xf numFmtId="166" fontId="16" fillId="30" borderId="42" xfId="29" applyNumberFormat="1" applyFont="1" applyFill="1" applyBorder="1" applyAlignment="1">
      <alignment horizontal="center" vertical="center" wrapText="1"/>
    </xf>
    <xf numFmtId="40" fontId="16" fillId="0" borderId="42" xfId="0" applyNumberFormat="1" applyFont="1" applyBorder="1" applyAlignment="1">
      <alignment horizontal="right" vertical="center" wrapText="1"/>
    </xf>
    <xf numFmtId="166" fontId="16" fillId="30" borderId="25" xfId="29" applyNumberFormat="1" applyFont="1" applyFill="1" applyBorder="1" applyAlignment="1">
      <alignment horizontal="center" vertical="center" wrapText="1"/>
    </xf>
    <xf numFmtId="166" fontId="1" fillId="0" borderId="43" xfId="29" applyNumberFormat="1" applyFont="1" applyBorder="1" applyAlignment="1">
      <alignment horizontal="left" vertical="center" wrapText="1"/>
    </xf>
    <xf numFmtId="166" fontId="0" fillId="0" borderId="25" xfId="0" applyNumberFormat="1" applyBorder="1" applyAlignment="1">
      <alignment horizontal="left" vertical="center" wrapText="1"/>
    </xf>
    <xf numFmtId="180" fontId="16" fillId="0" borderId="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 horizontal="left" vertical="center" wrapText="1"/>
    </xf>
    <xf numFmtId="0" fontId="1" fillId="0" borderId="0" xfId="0" applyFont="1"/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30" borderId="25" xfId="0" applyFill="1" applyBorder="1" applyAlignment="1">
      <alignment horizontal="left" vertical="center" wrapText="1"/>
    </xf>
    <xf numFmtId="0" fontId="16" fillId="24" borderId="10" xfId="0" applyFont="1" applyFill="1" applyBorder="1" applyAlignment="1">
      <alignment horizontal="center" vertical="center" wrapText="1"/>
    </xf>
    <xf numFmtId="166" fontId="1" fillId="0" borderId="44" xfId="29" applyNumberFormat="1" applyFont="1" applyBorder="1" applyAlignment="1">
      <alignment horizontal="left" vertical="center" wrapText="1"/>
    </xf>
    <xf numFmtId="166" fontId="1" fillId="0" borderId="46" xfId="29" applyNumberFormat="1" applyFont="1" applyBorder="1" applyAlignment="1">
      <alignment horizontal="left" vertical="center" wrapText="1"/>
    </xf>
    <xf numFmtId="39" fontId="34" fillId="0" borderId="24" xfId="28" applyNumberFormat="1" applyFont="1" applyBorder="1"/>
    <xf numFmtId="39" fontId="34" fillId="0" borderId="25" xfId="28" applyNumberFormat="1" applyFont="1" applyBorder="1"/>
    <xf numFmtId="175" fontId="0" fillId="0" borderId="0" xfId="0" applyNumberFormat="1" applyAlignment="1">
      <alignment horizontal="left" vertical="center" wrapText="1"/>
    </xf>
    <xf numFmtId="0" fontId="0" fillId="26" borderId="31" xfId="0" applyFill="1" applyBorder="1" applyAlignment="1">
      <alignment horizontal="left" vertical="center" wrapText="1"/>
    </xf>
    <xf numFmtId="0" fontId="0" fillId="26" borderId="30" xfId="0" applyFill="1" applyBorder="1" applyAlignment="1">
      <alignment horizontal="left" vertical="center" wrapText="1"/>
    </xf>
    <xf numFmtId="0" fontId="0" fillId="26" borderId="25" xfId="0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40" fontId="32" fillId="0" borderId="48" xfId="0" applyNumberFormat="1" applyFont="1" applyFill="1" applyBorder="1"/>
    <xf numFmtId="40" fontId="32" fillId="0" borderId="49" xfId="0" applyNumberFormat="1" applyFont="1" applyFill="1" applyBorder="1"/>
    <xf numFmtId="40" fontId="32" fillId="0" borderId="13" xfId="0" applyNumberFormat="1" applyFont="1" applyFill="1" applyBorder="1"/>
    <xf numFmtId="40" fontId="32" fillId="0" borderId="50" xfId="0" applyNumberFormat="1" applyFont="1" applyFill="1" applyBorder="1"/>
    <xf numFmtId="40" fontId="32" fillId="0" borderId="51" xfId="0" applyNumberFormat="1" applyFont="1" applyFill="1" applyBorder="1"/>
    <xf numFmtId="40" fontId="32" fillId="0" borderId="12" xfId="0" applyNumberFormat="1" applyFont="1" applyBorder="1"/>
    <xf numFmtId="40" fontId="32" fillId="0" borderId="13" xfId="0" applyNumberFormat="1" applyFont="1" applyBorder="1"/>
    <xf numFmtId="0" fontId="33" fillId="0" borderId="10" xfId="0" applyFont="1" applyBorder="1" applyAlignment="1">
      <alignment horizontal="left" vertical="center" wrapText="1"/>
    </xf>
    <xf numFmtId="0" fontId="0" fillId="26" borderId="17" xfId="0" applyFill="1" applyBorder="1" applyAlignment="1">
      <alignment horizontal="left" vertical="center" wrapText="1"/>
    </xf>
    <xf numFmtId="0" fontId="0" fillId="26" borderId="11" xfId="0" applyFill="1" applyBorder="1" applyAlignment="1">
      <alignment horizontal="left" vertical="center" wrapText="1"/>
    </xf>
    <xf numFmtId="0" fontId="0" fillId="30" borderId="52" xfId="0" applyFill="1" applyBorder="1" applyAlignment="1">
      <alignment horizontal="left" vertical="center" wrapText="1"/>
    </xf>
    <xf numFmtId="0" fontId="0" fillId="30" borderId="53" xfId="0" applyFill="1" applyBorder="1" applyAlignment="1">
      <alignment horizontal="left" vertical="center" wrapText="1"/>
    </xf>
    <xf numFmtId="166" fontId="16" fillId="26" borderId="23" xfId="29" applyNumberFormat="1" applyFont="1" applyFill="1" applyBorder="1" applyAlignment="1">
      <alignment horizontal="center" vertical="center" wrapText="1"/>
    </xf>
    <xf numFmtId="0" fontId="16" fillId="24" borderId="54" xfId="0" applyFont="1" applyFill="1" applyBorder="1" applyAlignment="1">
      <alignment horizontal="center" vertical="center" wrapText="1"/>
    </xf>
    <xf numFmtId="0" fontId="16" fillId="24" borderId="55" xfId="0" applyFont="1" applyFill="1" applyBorder="1" applyAlignment="1">
      <alignment horizontal="center" vertical="center" wrapText="1"/>
    </xf>
    <xf numFmtId="0" fontId="16" fillId="24" borderId="56" xfId="0" applyFont="1" applyFill="1" applyBorder="1" applyAlignment="1">
      <alignment horizontal="center" vertical="center" wrapText="1"/>
    </xf>
    <xf numFmtId="166" fontId="1" fillId="0" borderId="57" xfId="29" applyNumberFormat="1" applyFont="1" applyBorder="1" applyAlignment="1">
      <alignment horizontal="left" vertical="center" wrapText="1"/>
    </xf>
    <xf numFmtId="0" fontId="16" fillId="26" borderId="23" xfId="0" applyFont="1" applyFill="1" applyBorder="1" applyAlignment="1">
      <alignment horizontal="center" vertical="center" wrapText="1"/>
    </xf>
    <xf numFmtId="0" fontId="16" fillId="26" borderId="24" xfId="0" applyFont="1" applyFill="1" applyBorder="1" applyAlignment="1">
      <alignment horizontal="center" vertical="center" wrapText="1"/>
    </xf>
    <xf numFmtId="0" fontId="16" fillId="26" borderId="25" xfId="0" applyFont="1" applyFill="1" applyBorder="1" applyAlignment="1">
      <alignment horizontal="center" vertical="center" wrapText="1"/>
    </xf>
    <xf numFmtId="166" fontId="16" fillId="30" borderId="23" xfId="29" applyNumberFormat="1" applyFont="1" applyFill="1" applyBorder="1" applyAlignment="1">
      <alignment horizontal="center" vertical="center" wrapText="1"/>
    </xf>
    <xf numFmtId="0" fontId="16" fillId="30" borderId="23" xfId="0" applyFont="1" applyFill="1" applyBorder="1" applyAlignment="1">
      <alignment horizontal="center" vertical="center" wrapText="1"/>
    </xf>
    <xf numFmtId="0" fontId="16" fillId="30" borderId="24" xfId="0" applyFont="1" applyFill="1" applyBorder="1" applyAlignment="1">
      <alignment horizontal="center" vertical="center" wrapText="1"/>
    </xf>
    <xf numFmtId="0" fontId="16" fillId="30" borderId="25" xfId="0" applyFont="1" applyFill="1" applyBorder="1" applyAlignment="1">
      <alignment horizontal="center" vertical="center" wrapText="1"/>
    </xf>
    <xf numFmtId="174" fontId="0" fillId="0" borderId="17" xfId="0" applyNumberFormat="1" applyBorder="1" applyAlignment="1">
      <alignment horizontal="left" vertical="center" wrapText="1"/>
    </xf>
    <xf numFmtId="0" fontId="31" fillId="0" borderId="0" xfId="0" applyFont="1" applyFill="1"/>
    <xf numFmtId="0" fontId="0" fillId="0" borderId="0" xfId="0" applyFill="1" applyBorder="1" applyAlignment="1">
      <alignment horizontal="left" vertical="center" wrapText="1"/>
    </xf>
    <xf numFmtId="40" fontId="0" fillId="0" borderId="0" xfId="0" applyNumberFormat="1" applyFill="1" applyBorder="1" applyAlignment="1">
      <alignment horizontal="right" vertical="center" wrapText="1"/>
    </xf>
    <xf numFmtId="40" fontId="16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35" fillId="0" borderId="0" xfId="0" applyFont="1" applyAlignment="1">
      <alignment horizontal="left" vertical="center"/>
    </xf>
    <xf numFmtId="0" fontId="36" fillId="26" borderId="10" xfId="0" applyFont="1" applyFill="1" applyBorder="1" applyAlignment="1">
      <alignment vertical="center" wrapText="1"/>
    </xf>
    <xf numFmtId="0" fontId="36" fillId="26" borderId="10" xfId="0" applyFont="1" applyFill="1" applyBorder="1" applyAlignment="1">
      <alignment horizontal="left" vertical="center"/>
    </xf>
    <xf numFmtId="175" fontId="16" fillId="0" borderId="11" xfId="0" applyNumberFormat="1" applyFont="1" applyBorder="1" applyAlignment="1">
      <alignment horizontal="right" vertical="center" wrapText="1"/>
    </xf>
    <xf numFmtId="166" fontId="0" fillId="0" borderId="49" xfId="0" applyNumberFormat="1" applyBorder="1" applyAlignment="1">
      <alignment horizontal="left" vertical="center" wrapText="1"/>
    </xf>
    <xf numFmtId="166" fontId="0" fillId="0" borderId="15" xfId="0" applyNumberFormat="1" applyBorder="1" applyAlignment="1">
      <alignment horizontal="left"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 wrapText="1"/>
    </xf>
    <xf numFmtId="171" fontId="36" fillId="0" borderId="0" xfId="42" applyNumberFormat="1" applyFont="1" applyFill="1" applyBorder="1" applyAlignment="1">
      <alignment vertical="center" wrapText="1"/>
    </xf>
    <xf numFmtId="182" fontId="33" fillId="0" borderId="10" xfId="0" applyNumberFormat="1" applyFont="1" applyBorder="1" applyAlignment="1">
      <alignment horizontal="left" vertical="center" wrapText="1"/>
    </xf>
    <xf numFmtId="171" fontId="0" fillId="0" borderId="25" xfId="0" applyNumberFormat="1" applyBorder="1" applyAlignment="1">
      <alignment horizontal="left" vertical="center" wrapText="1"/>
    </xf>
    <xf numFmtId="0" fontId="0" fillId="26" borderId="52" xfId="0" applyFill="1" applyBorder="1" applyAlignment="1">
      <alignment horizontal="left" vertical="center" wrapText="1"/>
    </xf>
    <xf numFmtId="0" fontId="0" fillId="26" borderId="53" xfId="0" applyFill="1" applyBorder="1" applyAlignment="1">
      <alignment horizontal="left" vertical="center" wrapText="1"/>
    </xf>
    <xf numFmtId="174" fontId="16" fillId="0" borderId="58" xfId="0" applyNumberFormat="1" applyFont="1" applyBorder="1" applyAlignment="1">
      <alignment horizontal="right" vertical="center" wrapText="1"/>
    </xf>
    <xf numFmtId="0" fontId="0" fillId="0" borderId="22" xfId="0" applyBorder="1"/>
    <xf numFmtId="175" fontId="0" fillId="0" borderId="15" xfId="0" applyNumberFormat="1" applyBorder="1" applyAlignment="1">
      <alignment horizontal="left" vertical="center" wrapText="1"/>
    </xf>
    <xf numFmtId="175" fontId="0" fillId="0" borderId="59" xfId="0" applyNumberFormat="1" applyBorder="1" applyAlignment="1">
      <alignment horizontal="left" vertical="center" wrapText="1"/>
    </xf>
    <xf numFmtId="0" fontId="1" fillId="26" borderId="52" xfId="0" applyFont="1" applyFill="1" applyBorder="1"/>
    <xf numFmtId="0" fontId="0" fillId="26" borderId="26" xfId="0" applyFill="1" applyBorder="1" applyAlignment="1">
      <alignment wrapText="1"/>
    </xf>
    <xf numFmtId="0" fontId="0" fillId="0" borderId="47" xfId="0" applyBorder="1"/>
    <xf numFmtId="175" fontId="0" fillId="0" borderId="49" xfId="0" applyNumberFormat="1" applyBorder="1" applyAlignment="1">
      <alignment horizontal="left" vertical="center" wrapText="1"/>
    </xf>
    <xf numFmtId="0" fontId="0" fillId="0" borderId="45" xfId="0" applyBorder="1"/>
    <xf numFmtId="0" fontId="16" fillId="0" borderId="10" xfId="0" applyFont="1" applyBorder="1" applyAlignment="1">
      <alignment horizontal="left" vertical="center" wrapText="1"/>
    </xf>
    <xf numFmtId="166" fontId="16" fillId="0" borderId="42" xfId="0" applyNumberFormat="1" applyFont="1" applyBorder="1" applyAlignment="1">
      <alignment horizontal="left" vertical="center" wrapText="1"/>
    </xf>
    <xf numFmtId="0" fontId="16" fillId="0" borderId="58" xfId="0" applyFont="1" applyBorder="1" applyAlignment="1">
      <alignment horizontal="left" vertical="center" wrapText="1"/>
    </xf>
    <xf numFmtId="168" fontId="16" fillId="0" borderId="50" xfId="0" applyNumberFormat="1" applyFont="1" applyBorder="1" applyAlignment="1">
      <alignment horizontal="right" vertical="center" wrapText="1"/>
    </xf>
    <xf numFmtId="175" fontId="16" fillId="0" borderId="51" xfId="0" applyNumberFormat="1" applyFont="1" applyBorder="1" applyAlignment="1">
      <alignment horizontal="left" vertical="center" wrapText="1"/>
    </xf>
    <xf numFmtId="166" fontId="16" fillId="24" borderId="60" xfId="29" applyNumberFormat="1" applyFont="1" applyFill="1" applyBorder="1" applyAlignment="1">
      <alignment horizontal="center" vertical="center" wrapText="1"/>
    </xf>
    <xf numFmtId="0" fontId="16" fillId="24" borderId="60" xfId="0" applyFont="1" applyFill="1" applyBorder="1" applyAlignment="1">
      <alignment horizontal="center" vertical="center" wrapText="1"/>
    </xf>
    <xf numFmtId="0" fontId="1" fillId="26" borderId="58" xfId="0" applyFont="1" applyFill="1" applyBorder="1"/>
    <xf numFmtId="0" fontId="0" fillId="26" borderId="50" xfId="0" applyFill="1" applyBorder="1" applyAlignment="1">
      <alignment wrapText="1"/>
    </xf>
    <xf numFmtId="0" fontId="0" fillId="26" borderId="51" xfId="0" applyFill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62" xfId="0" applyFill="1" applyBorder="1" applyAlignment="1">
      <alignment horizontal="left" vertical="top" wrapText="1"/>
    </xf>
    <xf numFmtId="175" fontId="0" fillId="0" borderId="63" xfId="0" applyNumberFormat="1" applyBorder="1"/>
    <xf numFmtId="165" fontId="21" fillId="0" borderId="24" xfId="0" applyNumberFormat="1" applyFont="1" applyBorder="1"/>
    <xf numFmtId="165" fontId="21" fillId="0" borderId="25" xfId="0" applyNumberFormat="1" applyFont="1" applyBorder="1"/>
    <xf numFmtId="167" fontId="1" fillId="0" borderId="24" xfId="42" applyNumberFormat="1" applyFont="1" applyBorder="1"/>
    <xf numFmtId="175" fontId="0" fillId="0" borderId="64" xfId="0" applyNumberFormat="1" applyBorder="1" applyAlignment="1">
      <alignment horizontal="left" vertical="center" wrapText="1"/>
    </xf>
    <xf numFmtId="168" fontId="16" fillId="0" borderId="17" xfId="0" applyNumberFormat="1" applyFont="1" applyBorder="1" applyAlignment="1">
      <alignment horizontal="right" vertical="center" wrapText="1"/>
    </xf>
    <xf numFmtId="175" fontId="16" fillId="0" borderId="11" xfId="0" applyNumberFormat="1" applyFont="1" applyBorder="1" applyAlignment="1">
      <alignment horizontal="left" vertical="center" wrapText="1"/>
    </xf>
    <xf numFmtId="174" fontId="16" fillId="0" borderId="50" xfId="0" applyNumberFormat="1" applyFont="1" applyBorder="1" applyAlignment="1">
      <alignment horizontal="right" vertical="center" wrapText="1"/>
    </xf>
    <xf numFmtId="40" fontId="32" fillId="0" borderId="26" xfId="0" applyNumberFormat="1" applyFont="1" applyBorder="1"/>
    <xf numFmtId="40" fontId="32" fillId="0" borderId="48" xfId="0" applyNumberFormat="1" applyFont="1" applyBorder="1"/>
    <xf numFmtId="40" fontId="32" fillId="0" borderId="49" xfId="0" applyNumberFormat="1" applyFont="1" applyBorder="1"/>
    <xf numFmtId="40" fontId="32" fillId="0" borderId="53" xfId="0" applyNumberFormat="1" applyFont="1" applyBorder="1"/>
    <xf numFmtId="0" fontId="0" fillId="31" borderId="23" xfId="0" applyFill="1" applyBorder="1"/>
    <xf numFmtId="0" fontId="0" fillId="31" borderId="24" xfId="0" applyFill="1" applyBorder="1"/>
    <xf numFmtId="0" fontId="0" fillId="31" borderId="25" xfId="0" applyFill="1" applyBorder="1"/>
    <xf numFmtId="175" fontId="30" fillId="0" borderId="13" xfId="0" applyNumberFormat="1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24" borderId="17" xfId="0" applyFont="1" applyFill="1" applyBorder="1" applyAlignment="1">
      <alignment horizontal="center"/>
    </xf>
    <xf numFmtId="0" fontId="16" fillId="24" borderId="19" xfId="0" applyFont="1" applyFill="1" applyBorder="1" applyAlignment="1">
      <alignment horizontal="center" wrapText="1"/>
    </xf>
    <xf numFmtId="0" fontId="16" fillId="24" borderId="11" xfId="0" applyFont="1" applyFill="1" applyBorder="1" applyAlignment="1">
      <alignment horizontal="center" wrapText="1"/>
    </xf>
    <xf numFmtId="166" fontId="16" fillId="24" borderId="17" xfId="29" applyNumberFormat="1" applyFont="1" applyFill="1" applyBorder="1" applyAlignment="1">
      <alignment horizontal="center" vertical="center" wrapText="1"/>
    </xf>
    <xf numFmtId="0" fontId="16" fillId="24" borderId="18" xfId="0" applyFont="1" applyFill="1" applyBorder="1" applyAlignment="1">
      <alignment horizontal="center" wrapText="1"/>
    </xf>
    <xf numFmtId="0" fontId="16" fillId="24" borderId="17" xfId="0" applyFont="1" applyFill="1" applyBorder="1" applyAlignment="1">
      <alignment horizontal="center" wrapText="1"/>
    </xf>
    <xf numFmtId="0" fontId="0" fillId="24" borderId="19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16" fillId="24" borderId="42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174" fontId="31" fillId="0" borderId="29" xfId="42" applyNumberFormat="1" applyFont="1" applyBorder="1" applyAlignment="1">
      <alignment horizontal="right" vertical="center" wrapText="1"/>
    </xf>
    <xf numFmtId="166" fontId="31" fillId="0" borderId="57" xfId="29" applyNumberFormat="1" applyFont="1" applyBorder="1" applyAlignment="1">
      <alignment horizontal="left" vertical="center" wrapText="1"/>
    </xf>
    <xf numFmtId="174" fontId="31" fillId="0" borderId="48" xfId="42" applyNumberFormat="1" applyFont="1" applyFill="1" applyBorder="1" applyAlignment="1">
      <alignment wrapText="1"/>
    </xf>
    <xf numFmtId="174" fontId="31" fillId="0" borderId="14" xfId="42" applyNumberFormat="1" applyFont="1" applyFill="1" applyBorder="1" applyAlignment="1">
      <alignment vertical="top" wrapText="1"/>
    </xf>
    <xf numFmtId="174" fontId="31" fillId="0" borderId="66" xfId="42" applyNumberFormat="1" applyFont="1" applyFill="1" applyBorder="1" applyAlignment="1">
      <alignment vertical="top" wrapText="1"/>
    </xf>
    <xf numFmtId="174" fontId="31" fillId="0" borderId="47" xfId="42" applyNumberFormat="1" applyFont="1" applyFill="1" applyBorder="1" applyAlignment="1">
      <alignment wrapText="1"/>
    </xf>
    <xf numFmtId="174" fontId="31" fillId="0" borderId="22" xfId="42" applyNumberFormat="1" applyFont="1" applyFill="1" applyBorder="1" applyAlignment="1">
      <alignment vertical="top" wrapText="1"/>
    </xf>
    <xf numFmtId="174" fontId="31" fillId="0" borderId="45" xfId="42" applyNumberFormat="1" applyFont="1" applyFill="1" applyBorder="1" applyAlignment="1">
      <alignment vertical="top" wrapText="1"/>
    </xf>
    <xf numFmtId="174" fontId="31" fillId="0" borderId="48" xfId="42" applyNumberFormat="1" applyFont="1" applyFill="1" applyBorder="1" applyAlignment="1">
      <alignment vertical="top" wrapText="1"/>
    </xf>
    <xf numFmtId="174" fontId="31" fillId="0" borderId="47" xfId="42" applyNumberFormat="1" applyFont="1" applyFill="1" applyBorder="1" applyAlignment="1">
      <alignment vertical="top" wrapText="1"/>
    </xf>
    <xf numFmtId="40" fontId="37" fillId="0" borderId="12" xfId="0" applyNumberFormat="1" applyFont="1" applyBorder="1"/>
    <xf numFmtId="40" fontId="37" fillId="0" borderId="14" xfId="0" applyNumberFormat="1" applyFont="1" applyBorder="1"/>
    <xf numFmtId="40" fontId="37" fillId="0" borderId="27" xfId="0" applyNumberFormat="1" applyFont="1" applyBorder="1"/>
    <xf numFmtId="40" fontId="37" fillId="0" borderId="15" xfId="0" applyNumberFormat="1" applyFont="1" applyBorder="1"/>
    <xf numFmtId="174" fontId="1" fillId="0" borderId="48" xfId="42" applyNumberFormat="1" applyFont="1" applyFill="1" applyBorder="1" applyAlignment="1">
      <alignment wrapText="1"/>
    </xf>
    <xf numFmtId="37" fontId="1" fillId="0" borderId="48" xfId="28" applyNumberFormat="1" applyBorder="1"/>
    <xf numFmtId="39" fontId="1" fillId="0" borderId="48" xfId="28" applyNumberFormat="1" applyBorder="1"/>
    <xf numFmtId="39" fontId="21" fillId="0" borderId="48" xfId="28" applyNumberFormat="1" applyFont="1" applyBorder="1"/>
    <xf numFmtId="39" fontId="21" fillId="0" borderId="49" xfId="28" applyNumberFormat="1" applyFont="1" applyBorder="1"/>
    <xf numFmtId="174" fontId="1" fillId="0" borderId="14" xfId="42" applyNumberFormat="1" applyFont="1" applyFill="1" applyBorder="1" applyAlignment="1">
      <alignment wrapText="1"/>
    </xf>
    <xf numFmtId="37" fontId="1" fillId="0" borderId="14" xfId="28" applyNumberFormat="1" applyBorder="1"/>
    <xf numFmtId="39" fontId="1" fillId="0" borderId="14" xfId="28" applyNumberFormat="1" applyBorder="1"/>
    <xf numFmtId="39" fontId="21" fillId="0" borderId="14" xfId="28" applyNumberFormat="1" applyFont="1" applyBorder="1"/>
    <xf numFmtId="39" fontId="21" fillId="0" borderId="15" xfId="28" applyNumberFormat="1" applyFont="1" applyBorder="1"/>
    <xf numFmtId="166" fontId="19" fillId="27" borderId="22" xfId="29" applyNumberFormat="1" applyFont="1" applyFill="1" applyBorder="1"/>
    <xf numFmtId="166" fontId="19" fillId="27" borderId="14" xfId="29" applyNumberFormat="1" applyFont="1" applyFill="1" applyBorder="1"/>
    <xf numFmtId="37" fontId="1" fillId="27" borderId="14" xfId="28" applyNumberFormat="1" applyFill="1" applyBorder="1"/>
    <xf numFmtId="39" fontId="1" fillId="27" borderId="14" xfId="28" applyNumberFormat="1" applyFill="1" applyBorder="1"/>
    <xf numFmtId="39" fontId="21" fillId="27" borderId="14" xfId="28" applyNumberFormat="1" applyFont="1" applyFill="1" applyBorder="1"/>
    <xf numFmtId="39" fontId="21" fillId="27" borderId="15" xfId="28" applyNumberFormat="1" applyFont="1" applyFill="1" applyBorder="1"/>
    <xf numFmtId="166" fontId="21" fillId="27" borderId="22" xfId="29" applyNumberFormat="1" applyFont="1" applyFill="1" applyBorder="1"/>
    <xf numFmtId="174" fontId="1" fillId="27" borderId="14" xfId="42" applyNumberFormat="1" applyFont="1" applyFill="1" applyBorder="1" applyAlignment="1">
      <alignment vertical="top" wrapText="1"/>
    </xf>
    <xf numFmtId="166" fontId="22" fillId="27" borderId="22" xfId="29" applyNumberFormat="1" applyFont="1" applyFill="1" applyBorder="1" applyAlignment="1">
      <alignment horizontal="right"/>
    </xf>
    <xf numFmtId="174" fontId="16" fillId="27" borderId="14" xfId="42" applyNumberFormat="1" applyFont="1" applyFill="1" applyBorder="1" applyAlignment="1">
      <alignment vertical="top" wrapText="1"/>
    </xf>
    <xf numFmtId="37" fontId="16" fillId="27" borderId="14" xfId="28" applyNumberFormat="1" applyFont="1" applyFill="1" applyBorder="1"/>
    <xf numFmtId="39" fontId="22" fillId="27" borderId="14" xfId="28" applyNumberFormat="1" applyFont="1" applyFill="1" applyBorder="1"/>
    <xf numFmtId="39" fontId="22" fillId="27" borderId="15" xfId="28" applyNumberFormat="1" applyFont="1" applyFill="1" applyBorder="1"/>
    <xf numFmtId="174" fontId="1" fillId="0" borderId="14" xfId="42" applyNumberFormat="1" applyFont="1" applyFill="1" applyBorder="1" applyAlignment="1">
      <alignment vertical="top" wrapText="1"/>
    </xf>
    <xf numFmtId="166" fontId="1" fillId="27" borderId="22" xfId="29" applyNumberFormat="1" applyFont="1" applyFill="1" applyBorder="1"/>
    <xf numFmtId="39" fontId="1" fillId="27" borderId="15" xfId="28" applyNumberFormat="1" applyFill="1" applyBorder="1"/>
    <xf numFmtId="174" fontId="1" fillId="0" borderId="66" xfId="42" applyNumberFormat="1" applyFont="1" applyFill="1" applyBorder="1" applyAlignment="1">
      <alignment vertical="top" wrapText="1"/>
    </xf>
    <xf numFmtId="37" fontId="1" fillId="0" borderId="66" xfId="28" applyNumberFormat="1" applyBorder="1"/>
    <xf numFmtId="39" fontId="1" fillId="0" borderId="66" xfId="28" applyNumberFormat="1" applyBorder="1"/>
    <xf numFmtId="39" fontId="21" fillId="0" borderId="66" xfId="28" applyNumberFormat="1" applyFont="1" applyBorder="1"/>
    <xf numFmtId="39" fontId="21" fillId="0" borderId="59" xfId="28" applyNumberFormat="1" applyFont="1" applyBorder="1"/>
    <xf numFmtId="0" fontId="0" fillId="0" borderId="47" xfId="0" applyFill="1" applyBorder="1" applyAlignment="1">
      <alignment horizontal="left" wrapText="1"/>
    </xf>
    <xf numFmtId="167" fontId="1" fillId="0" borderId="48" xfId="42" applyNumberFormat="1" applyFont="1" applyBorder="1"/>
    <xf numFmtId="175" fontId="0" fillId="0" borderId="48" xfId="0" applyNumberFormat="1" applyBorder="1"/>
    <xf numFmtId="37" fontId="1" fillId="27" borderId="15" xfId="28" applyNumberFormat="1" applyFill="1" applyBorder="1"/>
    <xf numFmtId="0" fontId="0" fillId="0" borderId="45" xfId="0" applyFill="1" applyBorder="1" applyAlignment="1">
      <alignment horizontal="left" vertical="top" wrapText="1"/>
    </xf>
    <xf numFmtId="167" fontId="1" fillId="0" borderId="66" xfId="42" applyNumberFormat="1" applyFont="1" applyBorder="1"/>
    <xf numFmtId="175" fontId="0" fillId="0" borderId="66" xfId="0" applyNumberFormat="1" applyBorder="1"/>
    <xf numFmtId="0" fontId="33" fillId="0" borderId="67" xfId="0" applyFont="1" applyBorder="1" applyAlignment="1">
      <alignment horizontal="left" vertical="center" wrapText="1"/>
    </xf>
    <xf numFmtId="0" fontId="33" fillId="0" borderId="68" xfId="0" applyFont="1" applyBorder="1" applyAlignment="1">
      <alignment horizontal="left" vertical="center" wrapText="1"/>
    </xf>
    <xf numFmtId="0" fontId="33" fillId="0" borderId="69" xfId="0" applyFont="1" applyBorder="1" applyAlignment="1">
      <alignment horizontal="left" vertical="center" wrapText="1"/>
    </xf>
    <xf numFmtId="37" fontId="16" fillId="27" borderId="15" xfId="28" applyNumberFormat="1" applyFont="1" applyFill="1" applyBorder="1"/>
    <xf numFmtId="171" fontId="19" fillId="0" borderId="0" xfId="42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167" fontId="30" fillId="0" borderId="13" xfId="42" applyNumberFormat="1" applyFont="1" applyBorder="1" applyAlignment="1">
      <alignment horizontal="right" vertical="center"/>
    </xf>
    <xf numFmtId="183" fontId="0" fillId="0" borderId="0" xfId="0" applyNumberFormat="1"/>
    <xf numFmtId="174" fontId="0" fillId="0" borderId="0" xfId="42" applyNumberFormat="1" applyFont="1"/>
    <xf numFmtId="167" fontId="16" fillId="0" borderId="19" xfId="0" applyNumberFormat="1" applyFont="1" applyBorder="1" applyAlignment="1">
      <alignment horizontal="left" vertical="center" wrapText="1"/>
    </xf>
    <xf numFmtId="166" fontId="16" fillId="0" borderId="19" xfId="0" applyNumberFormat="1" applyFont="1" applyBorder="1" applyAlignment="1">
      <alignment horizontal="left" vertical="center" wrapText="1"/>
    </xf>
    <xf numFmtId="38" fontId="16" fillId="0" borderId="19" xfId="29" applyNumberFormat="1" applyFont="1" applyFill="1" applyBorder="1"/>
    <xf numFmtId="38" fontId="16" fillId="0" borderId="11" xfId="0" applyNumberFormat="1" applyFont="1" applyBorder="1" applyAlignment="1">
      <alignment horizontal="right" vertical="center" wrapText="1"/>
    </xf>
    <xf numFmtId="166" fontId="16" fillId="0" borderId="24" xfId="0" applyNumberFormat="1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38" fontId="16" fillId="0" borderId="24" xfId="0" applyNumberFormat="1" applyFont="1" applyBorder="1" applyAlignment="1">
      <alignment horizontal="right" vertical="center" wrapText="1"/>
    </xf>
    <xf numFmtId="38" fontId="16" fillId="0" borderId="25" xfId="0" applyNumberFormat="1" applyFont="1" applyBorder="1" applyAlignment="1">
      <alignment horizontal="right" vertical="center" wrapText="1"/>
    </xf>
    <xf numFmtId="171" fontId="16" fillId="0" borderId="11" xfId="0" applyNumberFormat="1" applyFont="1" applyBorder="1" applyAlignment="1">
      <alignment horizontal="left" vertical="center" wrapText="1"/>
    </xf>
    <xf numFmtId="166" fontId="0" fillId="0" borderId="28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6" fontId="16" fillId="0" borderId="11" xfId="0" applyNumberFormat="1" applyFont="1" applyBorder="1" applyAlignment="1">
      <alignment horizontal="left" vertical="center" wrapText="1"/>
    </xf>
    <xf numFmtId="181" fontId="33" fillId="0" borderId="41" xfId="0" applyNumberFormat="1" applyFont="1" applyBorder="1" applyAlignment="1">
      <alignment horizontal="right" vertical="center" wrapText="1"/>
    </xf>
    <xf numFmtId="171" fontId="16" fillId="0" borderId="10" xfId="0" applyNumberFormat="1" applyFont="1" applyBorder="1" applyAlignment="1">
      <alignment horizontal="right" vertical="center" wrapText="1"/>
    </xf>
    <xf numFmtId="0" fontId="33" fillId="0" borderId="41" xfId="0" applyFont="1" applyBorder="1" applyAlignment="1">
      <alignment horizontal="right" vertical="center" wrapText="1"/>
    </xf>
    <xf numFmtId="167" fontId="16" fillId="0" borderId="11" xfId="0" applyNumberFormat="1" applyFont="1" applyBorder="1" applyAlignment="1">
      <alignment horizontal="right" vertical="center" wrapText="1"/>
    </xf>
    <xf numFmtId="0" fontId="0" fillId="0" borderId="24" xfId="0" applyBorder="1" applyAlignment="1">
      <alignment horizontal="center" wrapText="1"/>
    </xf>
    <xf numFmtId="0" fontId="16" fillId="0" borderId="23" xfId="0" applyFont="1" applyBorder="1" applyAlignment="1">
      <alignment horizontal="center"/>
    </xf>
    <xf numFmtId="173" fontId="0" fillId="0" borderId="0" xfId="42" applyNumberFormat="1" applyFont="1" applyAlignment="1">
      <alignment horizontal="left" vertical="center" wrapText="1"/>
    </xf>
    <xf numFmtId="177" fontId="0" fillId="0" borderId="0" xfId="0" applyNumberFormat="1" applyAlignment="1">
      <alignment horizontal="left" vertical="center" wrapText="1"/>
    </xf>
    <xf numFmtId="0" fontId="38" fillId="0" borderId="0" xfId="0" applyFont="1"/>
    <xf numFmtId="0" fontId="38" fillId="0" borderId="0" xfId="0" applyFont="1" applyAlignment="1">
      <alignment horizontal="left" indent="1"/>
    </xf>
    <xf numFmtId="0" fontId="24" fillId="0" borderId="0" xfId="36" applyAlignment="1" applyProtection="1"/>
    <xf numFmtId="0" fontId="34" fillId="0" borderId="0" xfId="0" applyFont="1"/>
    <xf numFmtId="0" fontId="21" fillId="0" borderId="0" xfId="0" applyFont="1" applyAlignment="1">
      <alignment horizontal="left" vertical="center"/>
    </xf>
    <xf numFmtId="38" fontId="0" fillId="0" borderId="0" xfId="0" applyNumberFormat="1" applyAlignment="1">
      <alignment horizontal="left" vertical="center" wrapText="1"/>
    </xf>
    <xf numFmtId="184" fontId="0" fillId="0" borderId="0" xfId="0" applyNumberFormat="1" applyAlignment="1">
      <alignment horizontal="left" vertical="center" wrapText="1"/>
    </xf>
    <xf numFmtId="0" fontId="28" fillId="0" borderId="0" xfId="0" applyFont="1"/>
    <xf numFmtId="174" fontId="41" fillId="0" borderId="31" xfId="42" applyNumberFormat="1" applyFont="1" applyBorder="1" applyAlignment="1">
      <alignment horizontal="right" vertical="center" wrapText="1"/>
    </xf>
    <xf numFmtId="166" fontId="0" fillId="0" borderId="30" xfId="0" applyNumberFormat="1" applyBorder="1" applyAlignment="1">
      <alignment horizontal="left" vertical="center" wrapText="1"/>
    </xf>
    <xf numFmtId="167" fontId="0" fillId="0" borderId="62" xfId="42" applyNumberFormat="1" applyFont="1" applyBorder="1" applyAlignment="1">
      <alignment horizontal="right" vertical="center" wrapText="1"/>
    </xf>
    <xf numFmtId="166" fontId="0" fillId="0" borderId="63" xfId="0" applyNumberFormat="1" applyBorder="1" applyAlignment="1">
      <alignment horizontal="left" vertical="center" wrapText="1"/>
    </xf>
    <xf numFmtId="174" fontId="41" fillId="0" borderId="37" xfId="42" applyNumberFormat="1" applyFont="1" applyBorder="1" applyAlignment="1">
      <alignment horizontal="right" vertical="center" wrapText="1"/>
    </xf>
    <xf numFmtId="166" fontId="0" fillId="0" borderId="38" xfId="0" applyNumberFormat="1" applyBorder="1" applyAlignment="1">
      <alignment horizontal="left" vertical="center" wrapText="1"/>
    </xf>
    <xf numFmtId="0" fontId="0" fillId="26" borderId="23" xfId="0" applyFill="1" applyBorder="1" applyAlignment="1">
      <alignment horizontal="left" vertical="center" wrapText="1"/>
    </xf>
    <xf numFmtId="167" fontId="0" fillId="0" borderId="70" xfId="42" applyNumberFormat="1" applyFont="1" applyBorder="1" applyAlignment="1">
      <alignment horizontal="right" vertical="center" wrapText="1"/>
    </xf>
    <xf numFmtId="166" fontId="0" fillId="0" borderId="71" xfId="0" applyNumberFormat="1" applyBorder="1" applyAlignment="1">
      <alignment horizontal="left" vertical="center" wrapText="1"/>
    </xf>
    <xf numFmtId="0" fontId="28" fillId="0" borderId="0" xfId="0" applyFont="1" applyFill="1"/>
    <xf numFmtId="174" fontId="41" fillId="0" borderId="31" xfId="42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0" fontId="16" fillId="0" borderId="0" xfId="0" applyFont="1" applyAlignment="1">
      <alignment horizontal="right"/>
    </xf>
    <xf numFmtId="166" fontId="16" fillId="0" borderId="0" xfId="0" applyNumberFormat="1" applyFont="1" applyAlignment="1">
      <alignment horizontal="center" vertical="center" wrapText="1"/>
    </xf>
    <xf numFmtId="0" fontId="16" fillId="0" borderId="0" xfId="0" quotePrefix="1" applyFont="1" applyAlignment="1">
      <alignment horizontal="center" vertical="center"/>
    </xf>
    <xf numFmtId="174" fontId="31" fillId="0" borderId="58" xfId="42" applyNumberFormat="1" applyFont="1" applyFill="1" applyBorder="1" applyAlignment="1">
      <alignment vertical="top" wrapText="1"/>
    </xf>
    <xf numFmtId="166" fontId="16" fillId="0" borderId="0" xfId="0" applyNumberFormat="1" applyFont="1"/>
    <xf numFmtId="171" fontId="35" fillId="0" borderId="10" xfId="42" applyNumberFormat="1" applyFont="1" applyFill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45" xfId="0" applyFont="1" applyBorder="1"/>
    <xf numFmtId="0" fontId="42" fillId="0" borderId="0" xfId="0" applyFont="1" applyAlignment="1">
      <alignment horizontal="left" indent="1"/>
    </xf>
    <xf numFmtId="0" fontId="43" fillId="0" borderId="0" xfId="36" applyFont="1" applyAlignment="1" applyProtection="1"/>
    <xf numFmtId="0" fontId="42" fillId="0" borderId="0" xfId="0" applyFont="1" applyAlignment="1">
      <alignment horizontal="left" indent="2"/>
    </xf>
    <xf numFmtId="167" fontId="44" fillId="0" borderId="53" xfId="42" applyNumberFormat="1" applyFont="1" applyBorder="1" applyAlignment="1">
      <alignment horizontal="right" vertical="center"/>
    </xf>
    <xf numFmtId="0" fontId="25" fillId="0" borderId="0" xfId="0" applyFont="1" applyAlignment="1">
      <alignment horizontal="center" vertical="center" wrapText="1"/>
    </xf>
    <xf numFmtId="167" fontId="1" fillId="0" borderId="62" xfId="42" applyNumberFormat="1" applyBorder="1" applyAlignment="1">
      <alignment horizontal="right" vertical="center" wrapText="1"/>
    </xf>
    <xf numFmtId="167" fontId="1" fillId="0" borderId="70" xfId="42" applyNumberFormat="1" applyBorder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171" fontId="36" fillId="0" borderId="10" xfId="42" applyNumberFormat="1" applyFont="1" applyFill="1" applyBorder="1" applyAlignment="1">
      <alignment vertical="center" wrapText="1"/>
    </xf>
    <xf numFmtId="166" fontId="35" fillId="0" borderId="10" xfId="29" applyNumberFormat="1" applyFont="1" applyFill="1" applyBorder="1" applyAlignment="1">
      <alignment vertical="center" wrapText="1"/>
    </xf>
    <xf numFmtId="0" fontId="16" fillId="0" borderId="23" xfId="0" applyFont="1" applyBorder="1" applyAlignment="1">
      <alignment horizontal="left" vertical="center" wrapText="1"/>
    </xf>
    <xf numFmtId="166" fontId="16" fillId="0" borderId="17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167" fontId="31" fillId="0" borderId="49" xfId="42" applyNumberFormat="1" applyFont="1" applyBorder="1" applyAlignment="1">
      <alignment horizontal="right" vertical="center"/>
    </xf>
    <xf numFmtId="167" fontId="31" fillId="0" borderId="13" xfId="42" applyNumberFormat="1" applyFont="1" applyBorder="1" applyAlignment="1">
      <alignment horizontal="right" vertical="center"/>
    </xf>
    <xf numFmtId="167" fontId="31" fillId="0" borderId="72" xfId="42" applyNumberFormat="1" applyFont="1" applyBorder="1" applyAlignment="1">
      <alignment horizontal="right" vertical="center"/>
    </xf>
    <xf numFmtId="167" fontId="31" fillId="0" borderId="43" xfId="42" applyNumberFormat="1" applyFont="1" applyBorder="1" applyAlignment="1">
      <alignment horizontal="right" vertical="center"/>
    </xf>
    <xf numFmtId="0" fontId="16" fillId="26" borderId="73" xfId="0" applyFont="1" applyFill="1" applyBorder="1" applyAlignment="1">
      <alignment horizontal="center" vertical="center" wrapText="1"/>
    </xf>
    <xf numFmtId="167" fontId="16" fillId="0" borderId="51" xfId="0" applyNumberFormat="1" applyFont="1" applyBorder="1" applyAlignment="1">
      <alignment horizontal="right" vertical="center" wrapText="1"/>
    </xf>
    <xf numFmtId="166" fontId="29" fillId="0" borderId="47" xfId="29" applyNumberFormat="1" applyFont="1" applyBorder="1" applyAlignment="1">
      <alignment horizontal="left" vertical="center" wrapText="1"/>
    </xf>
    <xf numFmtId="166" fontId="29" fillId="0" borderId="21" xfId="29" applyNumberFormat="1" applyFont="1" applyBorder="1" applyAlignment="1">
      <alignment horizontal="left" vertical="center" wrapText="1"/>
    </xf>
    <xf numFmtId="0" fontId="16" fillId="0" borderId="0" xfId="0" quotePrefix="1" applyFont="1" applyAlignment="1">
      <alignment horizontal="right" vertical="center"/>
    </xf>
    <xf numFmtId="174" fontId="17" fillId="0" borderId="31" xfId="42" applyNumberFormat="1" applyFont="1" applyBorder="1" applyAlignment="1">
      <alignment horizontal="center" vertical="center" wrapText="1"/>
    </xf>
    <xf numFmtId="167" fontId="45" fillId="0" borderId="63" xfId="42" applyNumberFormat="1" applyFont="1" applyBorder="1" applyAlignment="1">
      <alignment horizontal="right" vertical="center"/>
    </xf>
    <xf numFmtId="0" fontId="6" fillId="0" borderId="0" xfId="0" applyFont="1" applyAlignment="1">
      <alignment wrapText="1"/>
    </xf>
    <xf numFmtId="166" fontId="33" fillId="0" borderId="53" xfId="0" applyNumberFormat="1" applyFont="1" applyBorder="1" applyAlignment="1">
      <alignment horizontal="left" vertical="center" wrapText="1"/>
    </xf>
    <xf numFmtId="0" fontId="46" fillId="0" borderId="41" xfId="36" applyFont="1" applyBorder="1" applyAlignment="1" applyProtection="1">
      <alignment horizontal="right"/>
    </xf>
    <xf numFmtId="166" fontId="47" fillId="0" borderId="74" xfId="29" applyNumberFormat="1" applyFont="1" applyBorder="1" applyAlignment="1">
      <alignment horizontal="left" vertical="center" wrapText="1"/>
    </xf>
    <xf numFmtId="0" fontId="46" fillId="0" borderId="31" xfId="36" applyFont="1" applyBorder="1" applyAlignment="1" applyProtection="1">
      <alignment horizontal="right"/>
    </xf>
    <xf numFmtId="166" fontId="47" fillId="0" borderId="52" xfId="29" applyNumberFormat="1" applyFont="1" applyBorder="1" applyAlignment="1">
      <alignment horizontal="left" vertical="center" wrapText="1"/>
    </xf>
    <xf numFmtId="167" fontId="47" fillId="0" borderId="53" xfId="42" applyNumberFormat="1" applyFont="1" applyBorder="1" applyAlignment="1">
      <alignment horizontal="right" vertical="center"/>
    </xf>
    <xf numFmtId="0" fontId="33" fillId="0" borderId="0" xfId="0" applyFont="1" applyAlignment="1">
      <alignment horizontal="left" vertical="center" wrapText="1"/>
    </xf>
    <xf numFmtId="174" fontId="30" fillId="0" borderId="31" xfId="42" applyNumberFormat="1" applyFont="1" applyBorder="1" applyAlignment="1">
      <alignment horizontal="right" vertical="center" wrapText="1"/>
    </xf>
    <xf numFmtId="165" fontId="0" fillId="0" borderId="0" xfId="0" applyNumberFormat="1" applyFill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0" fillId="26" borderId="10" xfId="0" applyFill="1" applyBorder="1"/>
    <xf numFmtId="40" fontId="23" fillId="0" borderId="10" xfId="0" applyNumberFormat="1" applyFont="1" applyBorder="1"/>
    <xf numFmtId="169" fontId="0" fillId="0" borderId="0" xfId="0" applyNumberFormat="1" applyFill="1" applyBorder="1"/>
    <xf numFmtId="169" fontId="0" fillId="0" borderId="0" xfId="0" applyNumberFormat="1" applyFill="1"/>
    <xf numFmtId="0" fontId="0" fillId="30" borderId="10" xfId="0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39" fontId="21" fillId="0" borderId="67" xfId="28" applyNumberFormat="1" applyFont="1" applyBorder="1"/>
    <xf numFmtId="39" fontId="21" fillId="0" borderId="68" xfId="28" applyNumberFormat="1" applyFont="1" applyBorder="1"/>
    <xf numFmtId="39" fontId="21" fillId="27" borderId="68" xfId="28" applyNumberFormat="1" applyFont="1" applyFill="1" applyBorder="1"/>
    <xf numFmtId="37" fontId="1" fillId="27" borderId="68" xfId="28" applyNumberFormat="1" applyFill="1" applyBorder="1"/>
    <xf numFmtId="39" fontId="21" fillId="0" borderId="69" xfId="28" applyNumberFormat="1" applyFont="1" applyBorder="1"/>
    <xf numFmtId="39" fontId="21" fillId="27" borderId="10" xfId="28" applyNumberFormat="1" applyFont="1" applyFill="1" applyBorder="1"/>
    <xf numFmtId="39" fontId="21" fillId="27" borderId="41" xfId="28" applyNumberFormat="1" applyFont="1" applyFill="1" applyBorder="1"/>
    <xf numFmtId="176" fontId="26" fillId="28" borderId="75" xfId="0" applyNumberFormat="1" applyFont="1" applyFill="1" applyBorder="1" applyAlignment="1">
      <alignment horizontal="center"/>
    </xf>
    <xf numFmtId="176" fontId="28" fillId="28" borderId="41" xfId="0" applyNumberFormat="1" applyFont="1" applyFill="1" applyBorder="1" applyAlignment="1">
      <alignment horizontal="right"/>
    </xf>
    <xf numFmtId="176" fontId="28" fillId="28" borderId="76" xfId="0" applyNumberFormat="1" applyFont="1" applyFill="1" applyBorder="1" applyAlignment="1">
      <alignment horizontal="right"/>
    </xf>
    <xf numFmtId="176" fontId="28" fillId="28" borderId="77" xfId="0" applyNumberFormat="1" applyFont="1" applyFill="1" applyBorder="1" applyAlignment="1">
      <alignment horizontal="right"/>
    </xf>
    <xf numFmtId="37" fontId="1" fillId="27" borderId="10" xfId="28" applyNumberFormat="1" applyFill="1" applyBorder="1"/>
    <xf numFmtId="175" fontId="21" fillId="0" borderId="10" xfId="0" applyNumberFormat="1" applyFont="1" applyBorder="1"/>
    <xf numFmtId="0" fontId="48" fillId="0" borderId="31" xfId="36" applyFont="1" applyBorder="1" applyAlignment="1" applyProtection="1">
      <alignment horizontal="right"/>
    </xf>
    <xf numFmtId="167" fontId="6" fillId="0" borderId="12" xfId="42" applyNumberFormat="1" applyFont="1" applyBorder="1" applyAlignment="1">
      <alignment horizontal="right" vertical="center"/>
    </xf>
    <xf numFmtId="166" fontId="6" fillId="0" borderId="30" xfId="29" applyNumberFormat="1" applyFont="1" applyBorder="1" applyAlignment="1">
      <alignment horizontal="left" vertical="center" wrapText="1"/>
    </xf>
    <xf numFmtId="40" fontId="49" fillId="0" borderId="26" xfId="0" applyNumberFormat="1" applyFont="1" applyBorder="1"/>
    <xf numFmtId="40" fontId="49" fillId="0" borderId="53" xfId="0" applyNumberFormat="1" applyFont="1" applyBorder="1"/>
    <xf numFmtId="0" fontId="6" fillId="0" borderId="0" xfId="0" applyFont="1"/>
    <xf numFmtId="40" fontId="49" fillId="0" borderId="41" xfId="0" applyNumberFormat="1" applyFont="1" applyBorder="1"/>
    <xf numFmtId="40" fontId="45" fillId="0" borderId="22" xfId="0" applyNumberFormat="1" applyFont="1" applyBorder="1" applyAlignment="1">
      <alignment horizontal="right" vertical="center" wrapText="1"/>
    </xf>
    <xf numFmtId="40" fontId="45" fillId="0" borderId="58" xfId="0" applyNumberFormat="1" applyFont="1" applyBorder="1" applyAlignment="1">
      <alignment horizontal="right" vertical="center" wrapText="1"/>
    </xf>
    <xf numFmtId="40" fontId="49" fillId="0" borderId="50" xfId="0" applyNumberFormat="1" applyFont="1" applyBorder="1"/>
    <xf numFmtId="40" fontId="49" fillId="0" borderId="51" xfId="0" applyNumberFormat="1" applyFont="1" applyBorder="1"/>
    <xf numFmtId="0" fontId="0" fillId="30" borderId="10" xfId="0" applyFill="1" applyBorder="1" applyAlignment="1">
      <alignment horizontal="center" wrapText="1"/>
    </xf>
    <xf numFmtId="165" fontId="50" fillId="26" borderId="10" xfId="28" applyFont="1" applyFill="1" applyBorder="1" applyAlignment="1">
      <alignment horizontal="left" vertical="center"/>
    </xf>
    <xf numFmtId="40" fontId="51" fillId="0" borderId="40" xfId="0" applyNumberFormat="1" applyFont="1" applyBorder="1"/>
    <xf numFmtId="40" fontId="51" fillId="0" borderId="68" xfId="0" applyNumberFormat="1" applyFont="1" applyBorder="1"/>
    <xf numFmtId="40" fontId="51" fillId="0" borderId="78" xfId="0" applyNumberFormat="1" applyFont="1" applyBorder="1"/>
    <xf numFmtId="40" fontId="51" fillId="0" borderId="10" xfId="0" applyNumberFormat="1" applyFont="1" applyBorder="1"/>
    <xf numFmtId="40" fontId="51" fillId="0" borderId="0" xfId="0" applyNumberFormat="1" applyFont="1" applyBorder="1"/>
    <xf numFmtId="0" fontId="30" fillId="30" borderId="10" xfId="0" applyFont="1" applyFill="1" applyBorder="1"/>
    <xf numFmtId="40" fontId="49" fillId="0" borderId="79" xfId="0" applyNumberFormat="1" applyFont="1" applyBorder="1"/>
    <xf numFmtId="0" fontId="7" fillId="0" borderId="0" xfId="0" applyFont="1"/>
    <xf numFmtId="40" fontId="52" fillId="0" borderId="13" xfId="0" applyNumberFormat="1" applyFont="1" applyBorder="1"/>
    <xf numFmtId="40" fontId="52" fillId="0" borderId="15" xfId="0" applyNumberFormat="1" applyFont="1" applyBorder="1"/>
    <xf numFmtId="40" fontId="52" fillId="0" borderId="28" xfId="0" applyNumberFormat="1" applyFont="1" applyBorder="1"/>
    <xf numFmtId="40" fontId="52" fillId="0" borderId="0" xfId="0" applyNumberFormat="1" applyFont="1" applyBorder="1"/>
    <xf numFmtId="0" fontId="7" fillId="24" borderId="11" xfId="0" applyFont="1" applyFill="1" applyBorder="1" applyAlignment="1">
      <alignment horizontal="center"/>
    </xf>
    <xf numFmtId="0" fontId="7" fillId="30" borderId="11" xfId="0" applyFont="1" applyFill="1" applyBorder="1"/>
    <xf numFmtId="9" fontId="0" fillId="0" borderId="0" xfId="42" applyFont="1"/>
    <xf numFmtId="0" fontId="0" fillId="0" borderId="62" xfId="0" applyBorder="1"/>
    <xf numFmtId="170" fontId="0" fillId="0" borderId="41" xfId="42" applyNumberFormat="1" applyFont="1" applyBorder="1"/>
    <xf numFmtId="170" fontId="0" fillId="0" borderId="79" xfId="42" applyNumberFormat="1" applyFont="1" applyBorder="1"/>
    <xf numFmtId="40" fontId="51" fillId="0" borderId="79" xfId="0" applyNumberFormat="1" applyFont="1" applyBorder="1"/>
    <xf numFmtId="0" fontId="0" fillId="0" borderId="79" xfId="0" applyBorder="1"/>
    <xf numFmtId="0" fontId="0" fillId="0" borderId="10" xfId="0" applyBorder="1"/>
    <xf numFmtId="170" fontId="53" fillId="0" borderId="41" xfId="42" applyNumberFormat="1" applyFont="1" applyBorder="1"/>
    <xf numFmtId="170" fontId="53" fillId="0" borderId="79" xfId="42" applyNumberFormat="1" applyFont="1" applyBorder="1"/>
    <xf numFmtId="166" fontId="6" fillId="0" borderId="43" xfId="29" applyNumberFormat="1" applyFont="1" applyBorder="1" applyAlignment="1">
      <alignment horizontal="left" vertical="center" wrapText="1"/>
    </xf>
    <xf numFmtId="40" fontId="53" fillId="0" borderId="26" xfId="0" applyNumberFormat="1" applyFont="1" applyBorder="1"/>
    <xf numFmtId="40" fontId="53" fillId="0" borderId="53" xfId="0" applyNumberFormat="1" applyFont="1" applyBorder="1"/>
    <xf numFmtId="165" fontId="34" fillId="0" borderId="41" xfId="28" applyNumberFormat="1" applyFont="1" applyBorder="1"/>
    <xf numFmtId="0" fontId="0" fillId="30" borderId="10" xfId="0" applyFill="1" applyBorder="1"/>
    <xf numFmtId="170" fontId="0" fillId="0" borderId="60" xfId="42" applyNumberFormat="1" applyFont="1" applyBorder="1"/>
    <xf numFmtId="165" fontId="34" fillId="0" borderId="60" xfId="28" applyNumberFormat="1" applyFont="1" applyBorder="1"/>
    <xf numFmtId="40" fontId="53" fillId="0" borderId="51" xfId="0" applyNumberFormat="1" applyFont="1" applyBorder="1"/>
    <xf numFmtId="174" fontId="29" fillId="0" borderId="21" xfId="42" applyNumberFormat="1" applyFont="1" applyBorder="1" applyAlignment="1">
      <alignment horizontal="right" vertical="center" wrapText="1"/>
    </xf>
    <xf numFmtId="174" fontId="29" fillId="0" borderId="22" xfId="42" applyNumberFormat="1" applyFont="1" applyBorder="1" applyAlignment="1">
      <alignment horizontal="right" vertical="center" wrapText="1"/>
    </xf>
    <xf numFmtId="174" fontId="29" fillId="0" borderId="47" xfId="42" applyNumberFormat="1" applyFont="1" applyFill="1" applyBorder="1" applyAlignment="1">
      <alignment horizontal="right" vertical="center" wrapText="1"/>
    </xf>
    <xf numFmtId="174" fontId="29" fillId="0" borderId="22" xfId="42" applyNumberFormat="1" applyFont="1" applyFill="1" applyBorder="1" applyAlignment="1">
      <alignment horizontal="right" vertical="center" wrapText="1"/>
    </xf>
    <xf numFmtId="174" fontId="29" fillId="0" borderId="29" xfId="42" applyNumberFormat="1" applyFont="1" applyFill="1" applyBorder="1" applyAlignment="1">
      <alignment horizontal="right" vertical="center" wrapText="1"/>
    </xf>
    <xf numFmtId="174" fontId="6" fillId="0" borderId="52" xfId="42" applyNumberFormat="1" applyFont="1" applyFill="1" applyBorder="1" applyAlignment="1">
      <alignment horizontal="right" vertical="center" wrapText="1"/>
    </xf>
    <xf numFmtId="0" fontId="35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left" vertical="center"/>
    </xf>
    <xf numFmtId="174" fontId="17" fillId="0" borderId="31" xfId="42" applyNumberFormat="1" applyFont="1" applyBorder="1" applyAlignment="1">
      <alignment horizontal="left" vertical="center"/>
    </xf>
    <xf numFmtId="37" fontId="30" fillId="0" borderId="14" xfId="28" applyNumberFormat="1" applyFont="1" applyBorder="1"/>
    <xf numFmtId="0" fontId="24" fillId="0" borderId="0" xfId="36" applyFont="1" applyAlignment="1" applyProtection="1"/>
    <xf numFmtId="174" fontId="55" fillId="0" borderId="31" xfId="42" applyNumberFormat="1" applyFont="1" applyBorder="1" applyAlignment="1">
      <alignment horizontal="left" vertical="center"/>
    </xf>
    <xf numFmtId="0" fontId="38" fillId="0" borderId="0" xfId="0" applyFont="1" applyAlignment="1"/>
    <xf numFmtId="0" fontId="56" fillId="0" borderId="0" xfId="0" applyFont="1" applyAlignment="1"/>
    <xf numFmtId="165" fontId="57" fillId="26" borderId="10" xfId="28" applyFont="1" applyFill="1" applyBorder="1" applyAlignment="1">
      <alignment horizontal="left" vertical="center"/>
    </xf>
    <xf numFmtId="174" fontId="31" fillId="0" borderId="52" xfId="42" applyNumberFormat="1" applyFont="1" applyBorder="1" applyAlignment="1">
      <alignment horizontal="right" vertical="center" wrapText="1"/>
    </xf>
    <xf numFmtId="175" fontId="30" fillId="0" borderId="53" xfId="0" applyNumberFormat="1" applyFont="1" applyBorder="1" applyAlignment="1">
      <alignment horizontal="left" vertical="center" wrapText="1"/>
    </xf>
    <xf numFmtId="167" fontId="0" fillId="0" borderId="80" xfId="42" applyNumberFormat="1" applyFont="1" applyBorder="1" applyAlignment="1">
      <alignment horizontal="right" vertical="center" wrapText="1"/>
    </xf>
    <xf numFmtId="166" fontId="0" fillId="0" borderId="81" xfId="0" applyNumberFormat="1" applyBorder="1" applyAlignment="1">
      <alignment horizontal="left" vertical="center" wrapText="1"/>
    </xf>
    <xf numFmtId="166" fontId="31" fillId="0" borderId="82" xfId="29" applyNumberFormat="1" applyFont="1" applyBorder="1" applyAlignment="1">
      <alignment horizontal="left" vertical="center" wrapText="1"/>
    </xf>
    <xf numFmtId="166" fontId="31" fillId="0" borderId="83" xfId="29" applyNumberFormat="1" applyFont="1" applyBorder="1" applyAlignment="1">
      <alignment horizontal="left" vertical="center" wrapText="1"/>
    </xf>
    <xf numFmtId="0" fontId="24" fillId="0" borderId="67" xfId="36" applyBorder="1" applyAlignment="1" applyProtection="1">
      <alignment horizontal="left" vertical="center" wrapText="1"/>
    </xf>
    <xf numFmtId="0" fontId="24" fillId="0" borderId="69" xfId="36" applyBorder="1" applyAlignment="1" applyProtection="1">
      <alignment horizontal="left" vertical="center" wrapText="1"/>
    </xf>
    <xf numFmtId="167" fontId="30" fillId="0" borderId="84" xfId="42" applyNumberFormat="1" applyFont="1" applyBorder="1" applyAlignment="1">
      <alignment horizontal="right" vertical="center"/>
    </xf>
    <xf numFmtId="167" fontId="30" fillId="0" borderId="85" xfId="42" applyNumberFormat="1" applyFont="1" applyBorder="1" applyAlignment="1">
      <alignment horizontal="right" vertical="center"/>
    </xf>
    <xf numFmtId="167" fontId="47" fillId="0" borderId="86" xfId="42" applyNumberFormat="1" applyFont="1" applyBorder="1" applyAlignment="1">
      <alignment horizontal="right" vertical="center"/>
    </xf>
    <xf numFmtId="167" fontId="16" fillId="0" borderId="18" xfId="0" applyNumberFormat="1" applyFont="1" applyBorder="1" applyAlignment="1">
      <alignment horizontal="right" vertical="center" wrapText="1"/>
    </xf>
    <xf numFmtId="181" fontId="33" fillId="0" borderId="67" xfId="0" applyNumberFormat="1" applyFont="1" applyBorder="1" applyAlignment="1">
      <alignment horizontal="right" vertical="center" wrapText="1"/>
    </xf>
    <xf numFmtId="181" fontId="33" fillId="0" borderId="68" xfId="0" applyNumberFormat="1" applyFont="1" applyBorder="1" applyAlignment="1">
      <alignment horizontal="right" vertical="center" wrapText="1"/>
    </xf>
    <xf numFmtId="40" fontId="51" fillId="0" borderId="11" xfId="0" applyNumberFormat="1" applyFont="1" applyBorder="1"/>
    <xf numFmtId="0" fontId="1" fillId="0" borderId="0" xfId="0" applyFont="1" applyAlignment="1">
      <alignment horizontal="right"/>
    </xf>
    <xf numFmtId="0" fontId="16" fillId="0" borderId="17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60" fillId="0" borderId="31" xfId="36" applyFont="1" applyBorder="1" applyAlignment="1" applyProtection="1">
      <alignment horizontal="right"/>
    </xf>
    <xf numFmtId="0" fontId="27" fillId="24" borderId="0" xfId="0" applyFont="1" applyFill="1"/>
    <xf numFmtId="0" fontId="27" fillId="0" borderId="23" xfId="0" applyFont="1" applyBorder="1"/>
    <xf numFmtId="0" fontId="27" fillId="26" borderId="23" xfId="0" applyFont="1" applyFill="1" applyBorder="1"/>
    <xf numFmtId="0" fontId="27" fillId="0" borderId="47" xfId="0" applyFont="1" applyBorder="1"/>
    <xf numFmtId="0" fontId="27" fillId="0" borderId="22" xfId="0" applyFont="1" applyBorder="1"/>
    <xf numFmtId="166" fontId="16" fillId="27" borderId="22" xfId="29" applyNumberFormat="1" applyFont="1" applyFill="1" applyBorder="1"/>
    <xf numFmtId="166" fontId="27" fillId="27" borderId="22" xfId="29" applyNumberFormat="1" applyFont="1" applyFill="1" applyBorder="1"/>
    <xf numFmtId="166" fontId="16" fillId="27" borderId="22" xfId="29" applyNumberFormat="1" applyFont="1" applyFill="1" applyBorder="1" applyAlignment="1">
      <alignment horizontal="right"/>
    </xf>
    <xf numFmtId="0" fontId="27" fillId="0" borderId="47" xfId="0" applyFont="1" applyFill="1" applyBorder="1" applyAlignment="1">
      <alignment horizontal="left" wrapText="1"/>
    </xf>
    <xf numFmtId="0" fontId="27" fillId="0" borderId="45" xfId="0" applyFont="1" applyFill="1" applyBorder="1" applyAlignment="1">
      <alignment horizontal="left" vertical="top" wrapText="1"/>
    </xf>
    <xf numFmtId="166" fontId="16" fillId="27" borderId="23" xfId="29" applyNumberFormat="1" applyFont="1" applyFill="1" applyBorder="1"/>
    <xf numFmtId="166" fontId="27" fillId="27" borderId="31" xfId="29" applyNumberFormat="1" applyFont="1" applyFill="1" applyBorder="1"/>
    <xf numFmtId="176" fontId="29" fillId="28" borderId="33" xfId="0" applyNumberFormat="1" applyFont="1" applyFill="1" applyBorder="1" applyAlignment="1">
      <alignment horizontal="center"/>
    </xf>
    <xf numFmtId="176" fontId="29" fillId="28" borderId="35" xfId="0" applyNumberFormat="1" applyFont="1" applyFill="1" applyBorder="1" applyAlignment="1">
      <alignment horizontal="right"/>
    </xf>
    <xf numFmtId="166" fontId="61" fillId="27" borderId="31" xfId="29" applyNumberFormat="1" applyFont="1" applyFill="1" applyBorder="1"/>
    <xf numFmtId="166" fontId="16" fillId="27" borderId="23" xfId="29" applyNumberFormat="1" applyFont="1" applyFill="1" applyBorder="1" applyAlignment="1">
      <alignment horizontal="right"/>
    </xf>
    <xf numFmtId="167" fontId="27" fillId="0" borderId="12" xfId="42" applyNumberFormat="1" applyFont="1" applyBorder="1" applyAlignment="1">
      <alignment horizontal="right" vertical="center"/>
    </xf>
    <xf numFmtId="166" fontId="27" fillId="0" borderId="20" xfId="29" applyNumberFormat="1" applyFont="1" applyBorder="1" applyAlignment="1">
      <alignment horizontal="left" vertical="center" wrapText="1"/>
    </xf>
    <xf numFmtId="167" fontId="27" fillId="0" borderId="24" xfId="0" applyNumberFormat="1" applyFont="1" applyBorder="1"/>
    <xf numFmtId="166" fontId="27" fillId="0" borderId="24" xfId="0" applyNumberFormat="1" applyFont="1" applyBorder="1" applyAlignment="1">
      <alignment horizontal="left" vertical="center" wrapText="1"/>
    </xf>
    <xf numFmtId="167" fontId="27" fillId="0" borderId="0" xfId="0" applyNumberFormat="1" applyFont="1" applyBorder="1"/>
    <xf numFmtId="166" fontId="27" fillId="0" borderId="0" xfId="0" applyNumberFormat="1" applyFont="1" applyBorder="1" applyAlignment="1">
      <alignment horizontal="left" vertical="center" wrapText="1"/>
    </xf>
    <xf numFmtId="166" fontId="27" fillId="0" borderId="43" xfId="29" applyNumberFormat="1" applyFont="1" applyBorder="1" applyAlignment="1">
      <alignment horizontal="left" vertical="center" wrapText="1"/>
    </xf>
    <xf numFmtId="166" fontId="27" fillId="0" borderId="25" xfId="0" applyNumberFormat="1" applyFont="1" applyBorder="1" applyAlignment="1">
      <alignment horizontal="left" vertical="center" wrapText="1"/>
    </xf>
    <xf numFmtId="166" fontId="27" fillId="0" borderId="0" xfId="0" applyNumberFormat="1" applyFont="1"/>
    <xf numFmtId="0" fontId="27" fillId="0" borderId="24" xfId="0" applyFont="1" applyBorder="1" applyAlignment="1">
      <alignment wrapText="1"/>
    </xf>
    <xf numFmtId="0" fontId="27" fillId="26" borderId="24" xfId="0" applyFont="1" applyFill="1" applyBorder="1" applyAlignment="1">
      <alignment wrapText="1"/>
    </xf>
    <xf numFmtId="174" fontId="27" fillId="0" borderId="48" xfId="42" applyNumberFormat="1" applyFont="1" applyFill="1" applyBorder="1" applyAlignment="1">
      <alignment wrapText="1"/>
    </xf>
    <xf numFmtId="37" fontId="27" fillId="0" borderId="48" xfId="28" applyNumberFormat="1" applyFont="1" applyBorder="1"/>
    <xf numFmtId="174" fontId="27" fillId="0" borderId="14" xfId="42" applyNumberFormat="1" applyFont="1" applyFill="1" applyBorder="1" applyAlignment="1">
      <alignment wrapText="1"/>
    </xf>
    <xf numFmtId="37" fontId="27" fillId="0" borderId="14" xfId="28" applyNumberFormat="1" applyFont="1" applyBorder="1"/>
    <xf numFmtId="166" fontId="16" fillId="27" borderId="14" xfId="29" applyNumberFormat="1" applyFont="1" applyFill="1" applyBorder="1"/>
    <xf numFmtId="37" fontId="27" fillId="27" borderId="14" xfId="28" applyNumberFormat="1" applyFont="1" applyFill="1" applyBorder="1"/>
    <xf numFmtId="174" fontId="27" fillId="27" borderId="14" xfId="42" applyNumberFormat="1" applyFont="1" applyFill="1" applyBorder="1" applyAlignment="1">
      <alignment vertical="top" wrapText="1"/>
    </xf>
    <xf numFmtId="174" fontId="27" fillId="0" borderId="14" xfId="42" applyNumberFormat="1" applyFont="1" applyFill="1" applyBorder="1" applyAlignment="1">
      <alignment vertical="top" wrapText="1"/>
    </xf>
    <xf numFmtId="174" fontId="27" fillId="0" borderId="66" xfId="42" applyNumberFormat="1" applyFont="1" applyFill="1" applyBorder="1" applyAlignment="1">
      <alignment vertical="top" wrapText="1"/>
    </xf>
    <xf numFmtId="37" fontId="27" fillId="0" borderId="66" xfId="28" applyNumberFormat="1" applyFont="1" applyBorder="1"/>
    <xf numFmtId="10" fontId="27" fillId="0" borderId="24" xfId="0" applyNumberFormat="1" applyFont="1" applyBorder="1"/>
    <xf numFmtId="37" fontId="27" fillId="0" borderId="24" xfId="28" applyNumberFormat="1" applyFont="1" applyBorder="1"/>
    <xf numFmtId="167" fontId="27" fillId="0" borderId="48" xfId="42" applyNumberFormat="1" applyFont="1" applyBorder="1"/>
    <xf numFmtId="175" fontId="27" fillId="0" borderId="48" xfId="0" applyNumberFormat="1" applyFont="1" applyBorder="1"/>
    <xf numFmtId="167" fontId="27" fillId="0" borderId="66" xfId="42" applyNumberFormat="1" applyFont="1" applyBorder="1"/>
    <xf numFmtId="175" fontId="27" fillId="0" borderId="66" xfId="0" applyNumberFormat="1" applyFont="1" applyBorder="1"/>
    <xf numFmtId="166" fontId="16" fillId="27" borderId="24" xfId="29" applyNumberFormat="1" applyFont="1" applyFill="1" applyBorder="1"/>
    <xf numFmtId="37" fontId="27" fillId="27" borderId="24" xfId="28" applyNumberFormat="1" applyFont="1" applyFill="1" applyBorder="1"/>
    <xf numFmtId="174" fontId="27" fillId="27" borderId="0" xfId="42" applyNumberFormat="1" applyFont="1" applyFill="1" applyBorder="1" applyAlignment="1">
      <alignment vertical="top" wrapText="1"/>
    </xf>
    <xf numFmtId="37" fontId="27" fillId="27" borderId="0" xfId="28" applyNumberFormat="1" applyFont="1" applyFill="1" applyBorder="1"/>
    <xf numFmtId="176" fontId="29" fillId="28" borderId="32" xfId="0" applyNumberFormat="1" applyFont="1" applyFill="1" applyBorder="1" applyAlignment="1">
      <alignment horizontal="center"/>
    </xf>
    <xf numFmtId="174" fontId="30" fillId="28" borderId="0" xfId="0" applyNumberFormat="1" applyFont="1" applyFill="1" applyBorder="1" applyAlignment="1">
      <alignment horizontal="center"/>
    </xf>
    <xf numFmtId="176" fontId="30" fillId="28" borderId="0" xfId="0" applyNumberFormat="1" applyFont="1" applyFill="1" applyBorder="1" applyAlignment="1">
      <alignment horizontal="right"/>
    </xf>
    <xf numFmtId="174" fontId="30" fillId="28" borderId="16" xfId="0" applyNumberFormat="1" applyFont="1" applyFill="1" applyBorder="1" applyAlignment="1">
      <alignment horizontal="center"/>
    </xf>
    <xf numFmtId="176" fontId="30" fillId="28" borderId="16" xfId="0" applyNumberFormat="1" applyFont="1" applyFill="1" applyBorder="1" applyAlignment="1">
      <alignment horizontal="right"/>
    </xf>
    <xf numFmtId="174" fontId="30" fillId="28" borderId="36" xfId="0" applyNumberFormat="1" applyFont="1" applyFill="1" applyBorder="1" applyAlignment="1">
      <alignment horizontal="right"/>
    </xf>
    <xf numFmtId="176" fontId="30" fillId="28" borderId="36" xfId="0" applyNumberFormat="1" applyFont="1" applyFill="1" applyBorder="1" applyAlignment="1">
      <alignment horizontal="right"/>
    </xf>
    <xf numFmtId="174" fontId="61" fillId="27" borderId="0" xfId="42" applyNumberFormat="1" applyFont="1" applyFill="1" applyBorder="1" applyAlignment="1">
      <alignment vertical="top" wrapText="1"/>
    </xf>
    <xf numFmtId="37" fontId="61" fillId="27" borderId="0" xfId="28" applyNumberFormat="1" applyFont="1" applyFill="1" applyBorder="1"/>
    <xf numFmtId="174" fontId="61" fillId="27" borderId="24" xfId="42" applyNumberFormat="1" applyFont="1" applyFill="1" applyBorder="1" applyAlignment="1">
      <alignment vertical="top" wrapText="1"/>
    </xf>
    <xf numFmtId="37" fontId="61" fillId="27" borderId="24" xfId="28" applyNumberFormat="1" applyFont="1" applyFill="1" applyBorder="1"/>
    <xf numFmtId="167" fontId="61" fillId="0" borderId="24" xfId="0" applyNumberFormat="1" applyFont="1" applyBorder="1"/>
    <xf numFmtId="175" fontId="61" fillId="0" borderId="24" xfId="0" applyNumberFormat="1" applyFont="1" applyBorder="1"/>
    <xf numFmtId="0" fontId="61" fillId="0" borderId="0" xfId="0" applyFont="1"/>
    <xf numFmtId="166" fontId="61" fillId="0" borderId="0" xfId="0" applyNumberFormat="1" applyFont="1"/>
    <xf numFmtId="0" fontId="61" fillId="0" borderId="24" xfId="0" applyFont="1" applyBorder="1" applyAlignment="1">
      <alignment wrapText="1"/>
    </xf>
    <xf numFmtId="0" fontId="61" fillId="26" borderId="24" xfId="0" applyFont="1" applyFill="1" applyBorder="1" applyAlignment="1">
      <alignment wrapText="1"/>
    </xf>
    <xf numFmtId="174" fontId="61" fillId="0" borderId="14" xfId="42" applyNumberFormat="1" applyFont="1" applyFill="1" applyBorder="1" applyAlignment="1">
      <alignment wrapText="1"/>
    </xf>
    <xf numFmtId="174" fontId="61" fillId="0" borderId="66" xfId="42" applyNumberFormat="1" applyFont="1" applyFill="1" applyBorder="1" applyAlignment="1">
      <alignment wrapText="1"/>
    </xf>
    <xf numFmtId="0" fontId="25" fillId="0" borderId="0" xfId="0" applyFont="1" applyAlignment="1">
      <alignment horizontal="left" vertical="center"/>
    </xf>
    <xf numFmtId="0" fontId="62" fillId="0" borderId="0" xfId="36" applyFont="1" applyAlignment="1" applyProtection="1"/>
    <xf numFmtId="174" fontId="63" fillId="0" borderId="31" xfId="42" applyNumberFormat="1" applyFont="1" applyBorder="1" applyAlignment="1">
      <alignment horizontal="left" vertical="center"/>
    </xf>
    <xf numFmtId="174" fontId="17" fillId="0" borderId="31" xfId="42" applyNumberFormat="1" applyFont="1" applyBorder="1" applyAlignment="1">
      <alignment horizontal="right" vertical="center" wrapText="1"/>
    </xf>
    <xf numFmtId="166" fontId="64" fillId="0" borderId="74" xfId="29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right" vertical="center"/>
    </xf>
    <xf numFmtId="174" fontId="30" fillId="0" borderId="0" xfId="42" applyNumberFormat="1" applyFont="1" applyFill="1" applyBorder="1" applyAlignment="1">
      <alignment horizontal="right" vertical="center" wrapText="1"/>
    </xf>
    <xf numFmtId="175" fontId="0" fillId="0" borderId="0" xfId="0" applyNumberFormat="1" applyFill="1" applyBorder="1" applyAlignment="1">
      <alignment horizontal="left" vertical="center" wrapText="1"/>
    </xf>
    <xf numFmtId="174" fontId="0" fillId="0" borderId="0" xfId="0" applyNumberFormat="1" applyFill="1" applyBorder="1" applyAlignment="1">
      <alignment horizontal="left" vertical="center" wrapText="1"/>
    </xf>
    <xf numFmtId="175" fontId="16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166" fontId="0" fillId="0" borderId="0" xfId="0" applyNumberFormat="1" applyFill="1" applyBorder="1" applyAlignment="1">
      <alignment horizontal="left" vertical="center" wrapText="1"/>
    </xf>
    <xf numFmtId="166" fontId="16" fillId="0" borderId="0" xfId="0" applyNumberFormat="1" applyFont="1" applyFill="1" applyBorder="1" applyAlignment="1">
      <alignment horizontal="left" vertical="center" wrapText="1"/>
    </xf>
    <xf numFmtId="174" fontId="41" fillId="26" borderId="31" xfId="42" applyNumberFormat="1" applyFont="1" applyFill="1" applyBorder="1" applyAlignment="1">
      <alignment horizontal="right" vertical="center" wrapText="1"/>
    </xf>
    <xf numFmtId="167" fontId="1" fillId="0" borderId="80" xfId="42" applyNumberFormat="1" applyBorder="1" applyAlignment="1">
      <alignment horizontal="right" vertical="center" wrapText="1"/>
    </xf>
    <xf numFmtId="174" fontId="53" fillId="0" borderId="52" xfId="42" applyNumberFormat="1" applyFont="1" applyFill="1" applyBorder="1" applyAlignment="1">
      <alignment horizontal="right" vertical="center" wrapText="1"/>
    </xf>
    <xf numFmtId="166" fontId="66" fillId="0" borderId="53" xfId="0" applyNumberFormat="1" applyFont="1" applyBorder="1" applyAlignment="1">
      <alignment horizontal="left" vertical="center" wrapText="1"/>
    </xf>
    <xf numFmtId="0" fontId="66" fillId="0" borderId="0" xfId="0" applyFont="1" applyAlignment="1">
      <alignment horizontal="right" wrapText="1"/>
    </xf>
    <xf numFmtId="0" fontId="67" fillId="0" borderId="0" xfId="0" applyFont="1" applyAlignment="1">
      <alignment horizontal="right"/>
    </xf>
    <xf numFmtId="0" fontId="67" fillId="0" borderId="0" xfId="0" applyFont="1"/>
    <xf numFmtId="165" fontId="67" fillId="0" borderId="0" xfId="28" applyFont="1" applyAlignment="1">
      <alignment horizontal="right"/>
    </xf>
    <xf numFmtId="0" fontId="68" fillId="0" borderId="0" xfId="0" applyFont="1" applyAlignment="1">
      <alignment horizontal="right"/>
    </xf>
    <xf numFmtId="165" fontId="68" fillId="0" borderId="0" xfId="28" applyFont="1"/>
    <xf numFmtId="172" fontId="21" fillId="0" borderId="47" xfId="42" applyNumberFormat="1" applyFont="1" applyFill="1" applyBorder="1" applyAlignment="1">
      <alignment wrapText="1"/>
    </xf>
    <xf numFmtId="172" fontId="21" fillId="0" borderId="22" xfId="42" applyNumberFormat="1" applyFont="1" applyFill="1" applyBorder="1" applyAlignment="1">
      <alignment wrapText="1"/>
    </xf>
    <xf numFmtId="172" fontId="23" fillId="27" borderId="22" xfId="29" applyNumberFormat="1" applyFont="1" applyFill="1" applyBorder="1"/>
    <xf numFmtId="172" fontId="21" fillId="27" borderId="22" xfId="42" applyNumberFormat="1" applyFont="1" applyFill="1" applyBorder="1" applyAlignment="1">
      <alignment vertical="top" wrapText="1"/>
    </xf>
    <xf numFmtId="172" fontId="23" fillId="27" borderId="22" xfId="42" applyNumberFormat="1" applyFont="1" applyFill="1" applyBorder="1" applyAlignment="1">
      <alignment vertical="top" wrapText="1"/>
    </xf>
    <xf numFmtId="172" fontId="21" fillId="0" borderId="22" xfId="42" applyNumberFormat="1" applyFont="1" applyFill="1" applyBorder="1" applyAlignment="1">
      <alignment vertical="top" wrapText="1"/>
    </xf>
    <xf numFmtId="172" fontId="21" fillId="0" borderId="45" xfId="42" applyNumberFormat="1" applyFont="1" applyFill="1" applyBorder="1" applyAlignment="1">
      <alignment vertical="top" wrapText="1"/>
    </xf>
    <xf numFmtId="173" fontId="21" fillId="0" borderId="47" xfId="42" applyNumberFormat="1" applyFont="1" applyBorder="1"/>
    <xf numFmtId="173" fontId="23" fillId="27" borderId="22" xfId="29" applyNumberFormat="1" applyFont="1" applyFill="1" applyBorder="1"/>
    <xf numFmtId="173" fontId="21" fillId="27" borderId="22" xfId="42" applyNumberFormat="1" applyFont="1" applyFill="1" applyBorder="1" applyAlignment="1">
      <alignment vertical="top" wrapText="1"/>
    </xf>
    <xf numFmtId="173" fontId="21" fillId="0" borderId="45" xfId="42" applyNumberFormat="1" applyFont="1" applyBorder="1"/>
    <xf numFmtId="173" fontId="23" fillId="27" borderId="23" xfId="29" applyNumberFormat="1" applyFont="1" applyFill="1" applyBorder="1"/>
    <xf numFmtId="173" fontId="21" fillId="27" borderId="31" xfId="42" applyNumberFormat="1" applyFont="1" applyFill="1" applyBorder="1" applyAlignment="1">
      <alignment vertical="top" wrapText="1"/>
    </xf>
    <xf numFmtId="173" fontId="51" fillId="28" borderId="33" xfId="0" applyNumberFormat="1" applyFont="1" applyFill="1" applyBorder="1" applyAlignment="1">
      <alignment horizontal="left"/>
    </xf>
    <xf numFmtId="173" fontId="32" fillId="28" borderId="31" xfId="0" applyNumberFormat="1" applyFont="1" applyFill="1" applyBorder="1" applyAlignment="1">
      <alignment horizontal="center"/>
    </xf>
    <xf numFmtId="173" fontId="32" fillId="28" borderId="37" xfId="0" applyNumberFormat="1" applyFont="1" applyFill="1" applyBorder="1" applyAlignment="1">
      <alignment horizontal="center"/>
    </xf>
    <xf numFmtId="173" fontId="32" fillId="28" borderId="35" xfId="0" applyNumberFormat="1" applyFont="1" applyFill="1" applyBorder="1" applyAlignment="1">
      <alignment horizontal="right"/>
    </xf>
    <xf numFmtId="173" fontId="21" fillId="27" borderId="23" xfId="42" applyNumberFormat="1" applyFont="1" applyFill="1" applyBorder="1" applyAlignment="1">
      <alignment vertical="top" wrapText="1"/>
    </xf>
    <xf numFmtId="173" fontId="34" fillId="0" borderId="10" xfId="0" applyNumberFormat="1" applyFont="1" applyBorder="1"/>
    <xf numFmtId="171" fontId="0" fillId="0" borderId="0" xfId="42" applyNumberFormat="1" applyFont="1" applyFill="1" applyBorder="1" applyAlignment="1">
      <alignment horizontal="right" vertical="center" wrapText="1"/>
    </xf>
    <xf numFmtId="0" fontId="0" fillId="26" borderId="10" xfId="0" applyFill="1" applyBorder="1" applyAlignment="1">
      <alignment wrapText="1"/>
    </xf>
    <xf numFmtId="172" fontId="67" fillId="0" borderId="10" xfId="0" applyNumberFormat="1" applyFont="1" applyBorder="1"/>
    <xf numFmtId="172" fontId="21" fillId="0" borderId="67" xfId="42" applyNumberFormat="1" applyFont="1" applyFill="1" applyBorder="1" applyAlignment="1">
      <alignment wrapText="1"/>
    </xf>
    <xf numFmtId="172" fontId="21" fillId="0" borderId="68" xfId="42" applyNumberFormat="1" applyFont="1" applyFill="1" applyBorder="1" applyAlignment="1">
      <alignment wrapText="1"/>
    </xf>
    <xf numFmtId="172" fontId="23" fillId="27" borderId="68" xfId="29" applyNumberFormat="1" applyFont="1" applyFill="1" applyBorder="1"/>
    <xf numFmtId="172" fontId="21" fillId="27" borderId="68" xfId="42" applyNumberFormat="1" applyFont="1" applyFill="1" applyBorder="1" applyAlignment="1">
      <alignment vertical="top" wrapText="1"/>
    </xf>
    <xf numFmtId="172" fontId="23" fillId="27" borderId="68" xfId="42" applyNumberFormat="1" applyFont="1" applyFill="1" applyBorder="1" applyAlignment="1">
      <alignment vertical="top" wrapText="1"/>
    </xf>
    <xf numFmtId="172" fontId="21" fillId="0" borderId="68" xfId="42" applyNumberFormat="1" applyFont="1" applyFill="1" applyBorder="1" applyAlignment="1">
      <alignment vertical="top" wrapText="1"/>
    </xf>
    <xf numFmtId="172" fontId="21" fillId="0" borderId="69" xfId="42" applyNumberFormat="1" applyFont="1" applyFill="1" applyBorder="1" applyAlignment="1">
      <alignment vertical="top" wrapText="1"/>
    </xf>
    <xf numFmtId="0" fontId="0" fillId="30" borderId="25" xfId="0" applyFill="1" applyBorder="1" applyAlignment="1">
      <alignment horizontal="center"/>
    </xf>
    <xf numFmtId="39" fontId="21" fillId="0" borderId="72" xfId="28" applyNumberFormat="1" applyFont="1" applyBorder="1"/>
    <xf numFmtId="39" fontId="21" fillId="27" borderId="87" xfId="28" applyNumberFormat="1" applyFont="1" applyFill="1" applyBorder="1"/>
    <xf numFmtId="37" fontId="1" fillId="27" borderId="87" xfId="28" applyNumberFormat="1" applyFill="1" applyBorder="1"/>
    <xf numFmtId="39" fontId="21" fillId="0" borderId="88" xfId="28" applyNumberFormat="1" applyFont="1" applyBorder="1"/>
    <xf numFmtId="172" fontId="21" fillId="0" borderId="67" xfId="42" applyNumberFormat="1" applyFont="1" applyBorder="1"/>
    <xf numFmtId="172" fontId="21" fillId="0" borderId="69" xfId="42" applyNumberFormat="1" applyFont="1" applyBorder="1"/>
    <xf numFmtId="172" fontId="23" fillId="27" borderId="10" xfId="29" applyNumberFormat="1" applyFont="1" applyFill="1" applyBorder="1"/>
    <xf numFmtId="172" fontId="21" fillId="27" borderId="41" xfId="42" applyNumberFormat="1" applyFont="1" applyFill="1" applyBorder="1" applyAlignment="1">
      <alignment vertical="top" wrapText="1"/>
    </xf>
    <xf numFmtId="172" fontId="51" fillId="28" borderId="75" xfId="0" applyNumberFormat="1" applyFont="1" applyFill="1" applyBorder="1" applyAlignment="1">
      <alignment horizontal="left"/>
    </xf>
    <xf numFmtId="172" fontId="32" fillId="28" borderId="41" xfId="0" applyNumberFormat="1" applyFont="1" applyFill="1" applyBorder="1" applyAlignment="1">
      <alignment horizontal="center"/>
    </xf>
    <xf numFmtId="172" fontId="32" fillId="28" borderId="76" xfId="0" applyNumberFormat="1" applyFont="1" applyFill="1" applyBorder="1" applyAlignment="1">
      <alignment horizontal="center"/>
    </xf>
    <xf numFmtId="172" fontId="32" fillId="28" borderId="77" xfId="0" applyNumberFormat="1" applyFont="1" applyFill="1" applyBorder="1" applyAlignment="1">
      <alignment horizontal="right"/>
    </xf>
    <xf numFmtId="172" fontId="21" fillId="27" borderId="10" xfId="42" applyNumberFormat="1" applyFont="1" applyFill="1" applyBorder="1" applyAlignment="1">
      <alignment vertical="top" wrapText="1"/>
    </xf>
    <xf numFmtId="172" fontId="21" fillId="0" borderId="10" xfId="0" applyNumberFormat="1" applyFont="1" applyBorder="1"/>
    <xf numFmtId="0" fontId="34" fillId="30" borderId="10" xfId="0" applyFont="1" applyFill="1" applyBorder="1" applyAlignment="1">
      <alignment horizontal="center" wrapText="1"/>
    </xf>
    <xf numFmtId="10" fontId="27" fillId="0" borderId="10" xfId="0" applyNumberFormat="1" applyFont="1" applyBorder="1"/>
    <xf numFmtId="0" fontId="66" fillId="0" borderId="10" xfId="0" applyFont="1" applyFill="1" applyBorder="1" applyAlignment="1">
      <alignment horizontal="center" wrapText="1"/>
    </xf>
    <xf numFmtId="0" fontId="66" fillId="26" borderId="41" xfId="0" applyFont="1" applyFill="1" applyBorder="1"/>
    <xf numFmtId="0" fontId="66" fillId="0" borderId="41" xfId="0" applyFont="1" applyBorder="1"/>
    <xf numFmtId="10" fontId="66" fillId="0" borderId="10" xfId="0" applyNumberFormat="1" applyFont="1" applyBorder="1"/>
    <xf numFmtId="40" fontId="69" fillId="0" borderId="0" xfId="0" applyNumberFormat="1" applyFont="1" applyBorder="1"/>
    <xf numFmtId="40" fontId="32" fillId="0" borderId="14" xfId="0" applyNumberFormat="1" applyFont="1" applyFill="1" applyBorder="1"/>
    <xf numFmtId="165" fontId="0" fillId="0" borderId="0" xfId="28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66" fillId="0" borderId="52" xfId="29" applyNumberFormat="1" applyFont="1" applyBorder="1" applyAlignment="1">
      <alignment horizontal="left" vertical="center" wrapText="1"/>
    </xf>
    <xf numFmtId="0" fontId="0" fillId="0" borderId="0" xfId="0" applyFont="1" applyBorder="1"/>
    <xf numFmtId="40" fontId="0" fillId="0" borderId="0" xfId="0" applyNumberFormat="1" applyFont="1"/>
    <xf numFmtId="0" fontId="0" fillId="0" borderId="0" xfId="0" applyFont="1"/>
    <xf numFmtId="0" fontId="16" fillId="0" borderId="0" xfId="0" applyFont="1" applyBorder="1" applyAlignment="1">
      <alignment horizontal="center"/>
    </xf>
    <xf numFmtId="40" fontId="16" fillId="0" borderId="0" xfId="0" applyNumberFormat="1" applyFont="1"/>
    <xf numFmtId="0" fontId="16" fillId="0" borderId="0" xfId="0" applyFont="1" applyAlignment="1">
      <alignment horizontal="center" wrapText="1"/>
    </xf>
    <xf numFmtId="171" fontId="0" fillId="0" borderId="0" xfId="0" applyNumberFormat="1" applyFont="1"/>
    <xf numFmtId="40" fontId="0" fillId="0" borderId="16" xfId="0" applyNumberFormat="1" applyFont="1" applyBorder="1"/>
    <xf numFmtId="40" fontId="16" fillId="0" borderId="0" xfId="0" applyNumberFormat="1" applyFont="1" applyAlignment="1">
      <alignment horizontal="center" wrapText="1"/>
    </xf>
    <xf numFmtId="0" fontId="59" fillId="0" borderId="0" xfId="36" applyFont="1" applyBorder="1" applyAlignment="1" applyProtection="1">
      <alignment horizontal="left" vertical="center" wrapText="1"/>
    </xf>
    <xf numFmtId="40" fontId="34" fillId="0" borderId="0" xfId="0" applyNumberFormat="1" applyFont="1"/>
    <xf numFmtId="40" fontId="34" fillId="0" borderId="16" xfId="0" applyNumberFormat="1" applyFont="1" applyBorder="1"/>
    <xf numFmtId="0" fontId="0" fillId="0" borderId="0" xfId="0" applyFont="1" applyBorder="1" applyAlignment="1">
      <alignment horizontal="right"/>
    </xf>
    <xf numFmtId="0" fontId="59" fillId="0" borderId="0" xfId="36" applyFont="1" applyBorder="1" applyAlignment="1" applyProtection="1"/>
    <xf numFmtId="40" fontId="34" fillId="0" borderId="0" xfId="0" applyNumberFormat="1" applyFont="1" applyBorder="1"/>
    <xf numFmtId="0" fontId="0" fillId="0" borderId="0" xfId="0" applyFont="1" applyFill="1" applyBorder="1"/>
    <xf numFmtId="0" fontId="0" fillId="32" borderId="0" xfId="0" applyFill="1" applyAlignment="1">
      <alignment wrapText="1"/>
    </xf>
    <xf numFmtId="164" fontId="29" fillId="32" borderId="31" xfId="29" applyNumberFormat="1" applyFont="1" applyFill="1" applyBorder="1" applyAlignment="1">
      <alignment horizontal="left" vertical="center" wrapText="1"/>
    </xf>
    <xf numFmtId="167" fontId="31" fillId="32" borderId="43" xfId="42" applyNumberFormat="1" applyFont="1" applyFill="1" applyBorder="1" applyAlignment="1">
      <alignment horizontal="right" vertical="center"/>
    </xf>
    <xf numFmtId="181" fontId="33" fillId="32" borderId="41" xfId="0" applyNumberFormat="1" applyFont="1" applyFill="1" applyBorder="1" applyAlignment="1">
      <alignment horizontal="right" vertical="center" wrapText="1"/>
    </xf>
    <xf numFmtId="174" fontId="29" fillId="32" borderId="21" xfId="42" applyNumberFormat="1" applyFont="1" applyFill="1" applyBorder="1" applyAlignment="1">
      <alignment horizontal="right" vertical="center" wrapText="1"/>
    </xf>
    <xf numFmtId="175" fontId="30" fillId="32" borderId="13" xfId="0" applyNumberFormat="1" applyFont="1" applyFill="1" applyBorder="1" applyAlignment="1">
      <alignment horizontal="left" vertical="center" wrapText="1"/>
    </xf>
    <xf numFmtId="174" fontId="30" fillId="32" borderId="31" xfId="42" applyNumberFormat="1" applyFont="1" applyFill="1" applyBorder="1" applyAlignment="1">
      <alignment horizontal="right" vertical="center" wrapText="1"/>
    </xf>
    <xf numFmtId="167" fontId="41" fillId="0" borderId="31" xfId="42" applyNumberFormat="1" applyFont="1" applyBorder="1" applyAlignment="1">
      <alignment horizontal="right" vertical="center" wrapText="1"/>
    </xf>
    <xf numFmtId="167" fontId="41" fillId="0" borderId="31" xfId="42" applyNumberFormat="1" applyFont="1" applyFill="1" applyBorder="1" applyAlignment="1">
      <alignment horizontal="right" vertical="center" wrapText="1"/>
    </xf>
    <xf numFmtId="167" fontId="41" fillId="0" borderId="37" xfId="42" applyNumberFormat="1" applyFont="1" applyBorder="1" applyAlignment="1">
      <alignment horizontal="right" vertical="center" wrapText="1"/>
    </xf>
    <xf numFmtId="165" fontId="16" fillId="33" borderId="0" xfId="28" applyFont="1" applyFill="1" applyAlignment="1">
      <alignment horizontal="center" vertical="center" wrapText="1"/>
    </xf>
    <xf numFmtId="175" fontId="31" fillId="26" borderId="10" xfId="28" applyNumberFormat="1" applyFont="1" applyFill="1" applyBorder="1" applyAlignment="1">
      <alignment horizontal="left" vertical="center"/>
    </xf>
    <xf numFmtId="166" fontId="29" fillId="0" borderId="61" xfId="29" applyNumberFormat="1" applyFont="1" applyBorder="1" applyAlignment="1">
      <alignment horizontal="left" vertical="center" wrapText="1"/>
    </xf>
    <xf numFmtId="166" fontId="29" fillId="0" borderId="31" xfId="29" applyNumberFormat="1" applyFont="1" applyBorder="1" applyAlignment="1">
      <alignment horizontal="left" vertical="center" wrapText="1"/>
    </xf>
    <xf numFmtId="166" fontId="45" fillId="0" borderId="62" xfId="29" applyNumberFormat="1" applyFont="1" applyBorder="1" applyAlignment="1">
      <alignment horizontal="left" vertical="center" wrapText="1"/>
    </xf>
    <xf numFmtId="166" fontId="16" fillId="0" borderId="58" xfId="0" applyNumberFormat="1" applyFont="1" applyBorder="1" applyAlignment="1">
      <alignment horizontal="left" vertical="center" wrapText="1"/>
    </xf>
    <xf numFmtId="166" fontId="19" fillId="0" borderId="0" xfId="0" applyNumberFormat="1" applyFont="1" applyAlignment="1">
      <alignment horizontal="right" vertical="center"/>
    </xf>
    <xf numFmtId="166" fontId="16" fillId="24" borderId="54" xfId="0" applyNumberFormat="1" applyFont="1" applyFill="1" applyBorder="1" applyAlignment="1">
      <alignment horizontal="center" vertical="center" wrapText="1"/>
    </xf>
    <xf numFmtId="166" fontId="16" fillId="30" borderId="24" xfId="0" applyNumberFormat="1" applyFont="1" applyFill="1" applyBorder="1" applyAlignment="1">
      <alignment horizontal="center" vertical="center" wrapText="1"/>
    </xf>
    <xf numFmtId="175" fontId="0" fillId="0" borderId="0" xfId="28" applyNumberFormat="1" applyFont="1"/>
    <xf numFmtId="0" fontId="27" fillId="26" borderId="52" xfId="0" applyFont="1" applyFill="1" applyBorder="1"/>
    <xf numFmtId="40" fontId="0" fillId="34" borderId="0" xfId="0" applyNumberFormat="1" applyFont="1" applyFill="1"/>
    <xf numFmtId="0" fontId="27" fillId="0" borderId="61" xfId="0" applyFont="1" applyBorder="1"/>
    <xf numFmtId="40" fontId="0" fillId="0" borderId="73" xfId="0" applyNumberFormat="1" applyFont="1" applyBorder="1"/>
    <xf numFmtId="0" fontId="0" fillId="0" borderId="73" xfId="0" applyFont="1" applyBorder="1"/>
    <xf numFmtId="0" fontId="0" fillId="0" borderId="73" xfId="0" applyFont="1" applyFill="1" applyBorder="1"/>
    <xf numFmtId="0" fontId="0" fillId="0" borderId="64" xfId="0" applyFont="1" applyBorder="1"/>
    <xf numFmtId="0" fontId="27" fillId="26" borderId="24" xfId="0" applyFont="1" applyFill="1" applyBorder="1"/>
    <xf numFmtId="0" fontId="27" fillId="26" borderId="25" xfId="0" applyFont="1" applyFill="1" applyBorder="1"/>
    <xf numFmtId="0" fontId="27" fillId="0" borderId="21" xfId="0" applyFont="1" applyBorder="1"/>
    <xf numFmtId="174" fontId="31" fillId="0" borderId="12" xfId="42" applyNumberFormat="1" applyFont="1" applyFill="1" applyBorder="1" applyAlignment="1">
      <alignment vertical="top" wrapText="1"/>
    </xf>
    <xf numFmtId="185" fontId="0" fillId="0" borderId="0" xfId="0" applyNumberFormat="1" applyFont="1"/>
    <xf numFmtId="38" fontId="0" fillId="0" borderId="0" xfId="0" applyNumberFormat="1" applyFont="1"/>
    <xf numFmtId="40" fontId="0" fillId="35" borderId="0" xfId="0" applyNumberFormat="1" applyFont="1" applyFill="1"/>
    <xf numFmtId="174" fontId="31" fillId="35" borderId="14" xfId="42" applyNumberFormat="1" applyFont="1" applyFill="1" applyBorder="1" applyAlignment="1">
      <alignment vertical="top" wrapText="1"/>
    </xf>
    <xf numFmtId="0" fontId="0" fillId="35" borderId="0" xfId="0" applyFont="1" applyFill="1"/>
    <xf numFmtId="38" fontId="0" fillId="35" borderId="0" xfId="0" applyNumberFormat="1" applyFont="1" applyFill="1"/>
    <xf numFmtId="40" fontId="16" fillId="35" borderId="0" xfId="0" applyNumberFormat="1" applyFont="1" applyFill="1"/>
    <xf numFmtId="0" fontId="16" fillId="35" borderId="0" xfId="0" applyFont="1" applyFill="1"/>
    <xf numFmtId="166" fontId="16" fillId="35" borderId="22" xfId="29" applyNumberFormat="1" applyFont="1" applyFill="1" applyBorder="1"/>
    <xf numFmtId="166" fontId="27" fillId="35" borderId="22" xfId="29" applyNumberFormat="1" applyFont="1" applyFill="1" applyBorder="1"/>
    <xf numFmtId="166" fontId="16" fillId="35" borderId="22" xfId="29" applyNumberFormat="1" applyFont="1" applyFill="1" applyBorder="1" applyAlignment="1">
      <alignment horizontal="right"/>
    </xf>
    <xf numFmtId="0" fontId="17" fillId="0" borderId="29" xfId="0" applyFont="1" applyBorder="1"/>
    <xf numFmtId="174" fontId="31" fillId="0" borderId="27" xfId="42" applyNumberFormat="1" applyFont="1" applyFill="1" applyBorder="1" applyAlignment="1">
      <alignment vertical="top" wrapText="1"/>
    </xf>
    <xf numFmtId="40" fontId="0" fillId="0" borderId="24" xfId="0" applyNumberFormat="1" applyFont="1" applyBorder="1"/>
    <xf numFmtId="174" fontId="31" fillId="0" borderId="19" xfId="42" applyNumberFormat="1" applyFont="1" applyFill="1" applyBorder="1" applyAlignment="1">
      <alignment vertical="top" wrapText="1"/>
    </xf>
    <xf numFmtId="185" fontId="0" fillId="0" borderId="24" xfId="0" applyNumberFormat="1" applyFont="1" applyBorder="1"/>
    <xf numFmtId="174" fontId="31" fillId="0" borderId="11" xfId="42" applyNumberFormat="1" applyFont="1" applyFill="1" applyBorder="1" applyAlignment="1">
      <alignment vertical="top" wrapText="1"/>
    </xf>
    <xf numFmtId="0" fontId="27" fillId="0" borderId="61" xfId="0" applyFont="1" applyBorder="1" applyAlignment="1">
      <alignment horizontal="center"/>
    </xf>
    <xf numFmtId="40" fontId="0" fillId="0" borderId="73" xfId="0" applyNumberFormat="1" applyFont="1" applyBorder="1" applyAlignment="1">
      <alignment horizontal="center"/>
    </xf>
    <xf numFmtId="174" fontId="31" fillId="0" borderId="0" xfId="42" applyNumberFormat="1" applyFont="1" applyFill="1" applyBorder="1" applyAlignment="1">
      <alignment vertical="top" wrapText="1"/>
    </xf>
    <xf numFmtId="174" fontId="0" fillId="0" borderId="0" xfId="0" applyNumberFormat="1" applyFont="1"/>
    <xf numFmtId="0" fontId="0" fillId="0" borderId="89" xfId="0" applyBorder="1"/>
    <xf numFmtId="0" fontId="0" fillId="0" borderId="90" xfId="0" applyBorder="1"/>
    <xf numFmtId="175" fontId="0" fillId="0" borderId="72" xfId="0" applyNumberFormat="1" applyBorder="1" applyAlignment="1">
      <alignment horizontal="left" vertical="center" wrapText="1"/>
    </xf>
    <xf numFmtId="175" fontId="0" fillId="0" borderId="87" xfId="0" applyNumberFormat="1" applyBorder="1" applyAlignment="1">
      <alignment horizontal="left" vertical="center" wrapText="1"/>
    </xf>
    <xf numFmtId="166" fontId="16" fillId="0" borderId="23" xfId="29" applyNumberFormat="1" applyFont="1" applyFill="1" applyBorder="1" applyAlignment="1">
      <alignment horizontal="center" vertical="center" wrapText="1"/>
    </xf>
    <xf numFmtId="166" fontId="16" fillId="29" borderId="23" xfId="29" applyNumberFormat="1" applyFont="1" applyFill="1" applyBorder="1" applyAlignment="1">
      <alignment horizontal="center" vertical="center" wrapText="1"/>
    </xf>
    <xf numFmtId="0" fontId="24" fillId="0" borderId="89" xfId="36" applyBorder="1" applyAlignment="1" applyProtection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16" fillId="0" borderId="23" xfId="0" applyFont="1" applyFill="1" applyBorder="1" applyAlignment="1">
      <alignment horizontal="center" wrapText="1"/>
    </xf>
    <xf numFmtId="167" fontId="1" fillId="0" borderId="21" xfId="42" applyNumberFormat="1" applyFont="1" applyBorder="1" applyAlignment="1">
      <alignment horizontal="right" vertical="center"/>
    </xf>
    <xf numFmtId="40" fontId="32" fillId="0" borderId="15" xfId="0" applyNumberFormat="1" applyFont="1" applyFill="1" applyBorder="1"/>
    <xf numFmtId="167" fontId="0" fillId="0" borderId="23" xfId="0" applyNumberFormat="1" applyBorder="1"/>
    <xf numFmtId="40" fontId="71" fillId="0" borderId="48" xfId="0" applyNumberFormat="1" applyFont="1" applyFill="1" applyBorder="1"/>
    <xf numFmtId="174" fontId="0" fillId="0" borderId="0" xfId="0" applyNumberFormat="1" applyAlignment="1">
      <alignment horizontal="left" vertical="center" wrapText="1"/>
    </xf>
    <xf numFmtId="172" fontId="0" fillId="0" borderId="80" xfId="42" applyNumberFormat="1" applyFont="1" applyBorder="1" applyAlignment="1">
      <alignment horizontal="right" vertical="center" wrapText="1"/>
    </xf>
    <xf numFmtId="174" fontId="72" fillId="27" borderId="14" xfId="42" applyNumberFormat="1" applyFont="1" applyFill="1" applyBorder="1" applyAlignment="1">
      <alignment vertical="top" wrapText="1"/>
    </xf>
    <xf numFmtId="0" fontId="24" fillId="0" borderId="68" xfId="36" applyBorder="1" applyAlignment="1" applyProtection="1">
      <alignment horizontal="left" vertical="center" wrapText="1"/>
    </xf>
    <xf numFmtId="0" fontId="24" fillId="0" borderId="21" xfId="36" applyBorder="1" applyAlignment="1" applyProtection="1">
      <alignment horizontal="left" vertical="center" wrapText="1"/>
    </xf>
    <xf numFmtId="0" fontId="24" fillId="0" borderId="22" xfId="36" applyBorder="1" applyAlignment="1" applyProtection="1">
      <alignment horizontal="left" vertical="center" wrapText="1"/>
    </xf>
    <xf numFmtId="0" fontId="24" fillId="0" borderId="90" xfId="36" applyBorder="1" applyAlignment="1" applyProtection="1">
      <alignment horizontal="left" vertical="center" wrapText="1"/>
    </xf>
    <xf numFmtId="0" fontId="24" fillId="0" borderId="29" xfId="36" applyBorder="1" applyAlignment="1" applyProtection="1">
      <alignment horizontal="left" vertical="center" wrapText="1"/>
    </xf>
    <xf numFmtId="0" fontId="24" fillId="0" borderId="91" xfId="36" applyBorder="1" applyAlignment="1" applyProtection="1">
      <alignment horizontal="left" vertical="center" wrapText="1"/>
    </xf>
    <xf numFmtId="0" fontId="24" fillId="0" borderId="65" xfId="36" applyFill="1" applyBorder="1" applyAlignment="1" applyProtection="1"/>
    <xf numFmtId="0" fontId="24" fillId="0" borderId="21" xfId="36" applyFont="1" applyBorder="1" applyAlignment="1" applyProtection="1">
      <alignment horizontal="left" vertical="center" wrapText="1"/>
    </xf>
    <xf numFmtId="0" fontId="24" fillId="0" borderId="22" xfId="36" applyFont="1" applyBorder="1" applyAlignment="1" applyProtection="1">
      <alignment horizontal="left" vertical="center" wrapText="1"/>
    </xf>
    <xf numFmtId="0" fontId="24" fillId="0" borderId="29" xfId="36" applyFont="1" applyBorder="1" applyAlignment="1" applyProtection="1">
      <alignment horizontal="left" vertical="center" wrapText="1"/>
    </xf>
    <xf numFmtId="40" fontId="73" fillId="0" borderId="48" xfId="0" applyNumberFormat="1" applyFont="1" applyFill="1" applyBorder="1"/>
    <xf numFmtId="0" fontId="24" fillId="0" borderId="90" xfId="36" applyFont="1" applyBorder="1" applyAlignment="1" applyProtection="1">
      <alignment horizontal="left" vertical="center" wrapText="1"/>
    </xf>
    <xf numFmtId="0" fontId="24" fillId="0" borderId="91" xfId="36" applyFont="1" applyBorder="1" applyAlignment="1" applyProtection="1">
      <alignment horizontal="left" vertical="center" wrapText="1"/>
    </xf>
    <xf numFmtId="39" fontId="21" fillId="36" borderId="48" xfId="28" applyNumberFormat="1" applyFont="1" applyFill="1" applyBorder="1"/>
    <xf numFmtId="39" fontId="21" fillId="36" borderId="49" xfId="28" applyNumberFormat="1" applyFont="1" applyFill="1" applyBorder="1"/>
    <xf numFmtId="39" fontId="21" fillId="36" borderId="14" xfId="28" applyNumberFormat="1" applyFont="1" applyFill="1" applyBorder="1"/>
    <xf numFmtId="39" fontId="21" fillId="36" borderId="15" xfId="28" applyNumberFormat="1" applyFont="1" applyFill="1" applyBorder="1"/>
    <xf numFmtId="0" fontId="0" fillId="24" borderId="19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16" fillId="0" borderId="61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9" fillId="27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0</xdr:row>
      <xdr:rowOff>0</xdr:rowOff>
    </xdr:from>
    <xdr:to>
      <xdr:col>31</xdr:col>
      <xdr:colOff>512843</xdr:colOff>
      <xdr:row>46</xdr:row>
      <xdr:rowOff>170321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3300" y="0"/>
          <a:ext cx="12057143" cy="902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25</xdr:row>
      <xdr:rowOff>76200</xdr:rowOff>
    </xdr:from>
    <xdr:to>
      <xdr:col>23</xdr:col>
      <xdr:colOff>112793</xdr:colOff>
      <xdr:row>72</xdr:row>
      <xdr:rowOff>151271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6450" y="4743450"/>
          <a:ext cx="12057143" cy="90285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657224</xdr:colOff>
      <xdr:row>0</xdr:row>
      <xdr:rowOff>19050</xdr:rowOff>
    </xdr:from>
    <xdr:to>
      <xdr:col>6</xdr:col>
      <xdr:colOff>895348</xdr:colOff>
      <xdr:row>3</xdr:row>
      <xdr:rowOff>9525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514849" y="19050"/>
          <a:ext cx="2781299" cy="60007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00" b="1">
              <a:solidFill>
                <a:sysClr val="windowText" lastClr="000000"/>
              </a:solidFill>
            </a:rPr>
            <a:t>Enter County</a:t>
          </a:r>
          <a:r>
            <a:rPr lang="en-US" sz="900" b="1" baseline="0">
              <a:solidFill>
                <a:sysClr val="windowText" lastClr="000000"/>
              </a:solidFill>
            </a:rPr>
            <a:t> name here. The % distribution to subaccounts should automatically change. However, the distribution to Programs is not automatic.</a:t>
          </a:r>
          <a:endParaRPr lang="en-US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114300</xdr:colOff>
      <xdr:row>1</xdr:row>
      <xdr:rowOff>95250</xdr:rowOff>
    </xdr:from>
    <xdr:to>
      <xdr:col>3</xdr:col>
      <xdr:colOff>638174</xdr:colOff>
      <xdr:row>1</xdr:row>
      <xdr:rowOff>114301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flipH="1">
          <a:off x="3971925" y="295275"/>
          <a:ext cx="523874" cy="19051"/>
        </a:xfrm>
        <a:prstGeom prst="straightConnector1">
          <a:avLst/>
        </a:prstGeom>
        <a:ln w="2222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123825</xdr:colOff>
      <xdr:row>39</xdr:row>
      <xdr:rowOff>95250</xdr:rowOff>
    </xdr:from>
    <xdr:to>
      <xdr:col>4</xdr:col>
      <xdr:colOff>114300</xdr:colOff>
      <xdr:row>45</xdr:row>
      <xdr:rowOff>142876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1450" y="8524875"/>
          <a:ext cx="990600" cy="1657351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Need Counties'</a:t>
          </a:r>
          <a:r>
            <a:rPr lang="en-US" sz="1100" b="1" baseline="0">
              <a:solidFill>
                <a:sysClr val="windowText" lastClr="000000"/>
              </a:solidFill>
            </a:rPr>
            <a:t> input based on distrib of prior year receipts + growth + add'l AB12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85725</xdr:colOff>
      <xdr:row>44</xdr:row>
      <xdr:rowOff>19050</xdr:rowOff>
    </xdr:from>
    <xdr:to>
      <xdr:col>4</xdr:col>
      <xdr:colOff>285750</xdr:colOff>
      <xdr:row>45</xdr:row>
      <xdr:rowOff>85725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4943475" y="9867900"/>
          <a:ext cx="200025" cy="257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123825</xdr:colOff>
      <xdr:row>54</xdr:row>
      <xdr:rowOff>19050</xdr:rowOff>
    </xdr:from>
    <xdr:to>
      <xdr:col>4</xdr:col>
      <xdr:colOff>114300</xdr:colOff>
      <xdr:row>58</xdr:row>
      <xdr:rowOff>47625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3981450" y="11791950"/>
          <a:ext cx="990600" cy="148590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Need Counties'</a:t>
          </a:r>
          <a:r>
            <a:rPr lang="en-US" sz="1100" b="1" baseline="0">
              <a:solidFill>
                <a:sysClr val="windowText" lastClr="000000"/>
              </a:solidFill>
            </a:rPr>
            <a:t> input based on distrib of prior year receipts + growth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38100</xdr:colOff>
      <xdr:row>58</xdr:row>
      <xdr:rowOff>38100</xdr:rowOff>
    </xdr:from>
    <xdr:to>
      <xdr:col>4</xdr:col>
      <xdr:colOff>238125</xdr:colOff>
      <xdr:row>60</xdr:row>
      <xdr:rowOff>47625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4895850" y="13268325"/>
          <a:ext cx="200025" cy="257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ginfo.ca.gov/pub/11-12/bill/sen/sb_1001-1050/sb_1020_bill_20120627_chaptered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mhda.org/go/Portals/0/CMHDA%20Files/Breaking%20News/1209_September/Behavorial_Health_Subaccount_Percent_Allocations_2012-13_(9-18-12).xlsx" TargetMode="External"/><Relationship Id="rId1" Type="http://schemas.openxmlformats.org/officeDocument/2006/relationships/hyperlink" Target="http://www.leginfo.ca.gov/pub/11-12/bill/sen/sb_1001-1050/sb_1020_bill_20120627_chaptered.pdf" TargetMode="External"/><Relationship Id="rId6" Type="http://schemas.openxmlformats.org/officeDocument/2006/relationships/hyperlink" Target="http://www.sco.ca.gov/ard_local_apportionments.html" TargetMode="External"/><Relationship Id="rId5" Type="http://schemas.openxmlformats.org/officeDocument/2006/relationships/hyperlink" Target="http://www.dss.cahwnet.gov/lettersnotices/entres/getinfo/cfl/2012-13/12_13-16.pdf" TargetMode="External"/><Relationship Id="rId4" Type="http://schemas.openxmlformats.org/officeDocument/2006/relationships/hyperlink" Target="http://www.cmhda.org/go/Portals/0/CMHDA%20Files/Breaking%20News/1209_September/Behavorial_Health_Subaccount_Percent_Allocations_2012-13_(9-18-12).xlsx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co.ca.gov/ard_payments_lrf_recon.html" TargetMode="External"/><Relationship Id="rId7" Type="http://schemas.openxmlformats.org/officeDocument/2006/relationships/printerSettings" Target="../printerSettings/printerSettings10.bin"/><Relationship Id="rId2" Type="http://schemas.openxmlformats.org/officeDocument/2006/relationships/hyperlink" Target="http://www.sco.ca.gov/ard_payments_lrf_recon.html" TargetMode="External"/><Relationship Id="rId1" Type="http://schemas.openxmlformats.org/officeDocument/2006/relationships/hyperlink" Target="http://www.sco.ca.gov/ard_payments_lrf_recon.html" TargetMode="External"/><Relationship Id="rId6" Type="http://schemas.openxmlformats.org/officeDocument/2006/relationships/hyperlink" Target="http://www.sco.ca.gov/ard_payments_lrf_recon.html" TargetMode="External"/><Relationship Id="rId5" Type="http://schemas.openxmlformats.org/officeDocument/2006/relationships/hyperlink" Target="http://www.sco.ca.gov/ard_payments_lrf_recon.html" TargetMode="External"/><Relationship Id="rId4" Type="http://schemas.openxmlformats.org/officeDocument/2006/relationships/hyperlink" Target="http://www.sco.ca.gov/ard_payments_lrf_recon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co.ca.gov/ard_payments_womenandchildrenresidemtialtreatment.html" TargetMode="External"/><Relationship Id="rId7" Type="http://schemas.openxmlformats.org/officeDocument/2006/relationships/printerSettings" Target="../printerSettings/printerSettings11.bin"/><Relationship Id="rId2" Type="http://schemas.openxmlformats.org/officeDocument/2006/relationships/hyperlink" Target="http://www.sco.ca.gov/ard_payments_behavioralhealth.html" TargetMode="External"/><Relationship Id="rId1" Type="http://schemas.openxmlformats.org/officeDocument/2006/relationships/hyperlink" Target="http://www.sco.ca.gov/ard_payments_protectiveservices.html" TargetMode="External"/><Relationship Id="rId6" Type="http://schemas.openxmlformats.org/officeDocument/2006/relationships/hyperlink" Target="http://www.sco.ca.gov/ard_payments_womenandchildrenresidemtialtreatment.html" TargetMode="External"/><Relationship Id="rId5" Type="http://schemas.openxmlformats.org/officeDocument/2006/relationships/hyperlink" Target="http://www.sco.ca.gov/ard_payments_behavioralhealth.html" TargetMode="External"/><Relationship Id="rId4" Type="http://schemas.openxmlformats.org/officeDocument/2006/relationships/hyperlink" Target="http://www.sco.ca.gov/ard_payments_protectiveservices.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co.ca.gov/ard_payments_womenandchildrenresidemtialtreatment.html" TargetMode="External"/><Relationship Id="rId7" Type="http://schemas.openxmlformats.org/officeDocument/2006/relationships/printerSettings" Target="../printerSettings/printerSettings12.bin"/><Relationship Id="rId2" Type="http://schemas.openxmlformats.org/officeDocument/2006/relationships/hyperlink" Target="http://www.sco.ca.gov/ard_payments_behavioralhealth.html" TargetMode="External"/><Relationship Id="rId1" Type="http://schemas.openxmlformats.org/officeDocument/2006/relationships/hyperlink" Target="http://www.sco.ca.gov/ard_payments_protectiveservices.html" TargetMode="External"/><Relationship Id="rId6" Type="http://schemas.openxmlformats.org/officeDocument/2006/relationships/hyperlink" Target="http://www.sco.ca.gov/ard_payments_womenandchildrenresidemtialtreatment.html" TargetMode="External"/><Relationship Id="rId5" Type="http://schemas.openxmlformats.org/officeDocument/2006/relationships/hyperlink" Target="http://www.sco.ca.gov/ard_payments_behavioralhealth.html" TargetMode="External"/><Relationship Id="rId4" Type="http://schemas.openxmlformats.org/officeDocument/2006/relationships/hyperlink" Target="http://www.sco.ca.gov/ard_payments_protectiveservice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co.ca.gov/ard_payments_lrf_recon.html" TargetMode="External"/><Relationship Id="rId1" Type="http://schemas.openxmlformats.org/officeDocument/2006/relationships/hyperlink" Target="https://sco.ca.gov/ard_payments_protectiveservices.html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sco.ca.gov/ard_payments_lrf_recon.html" TargetMode="External"/><Relationship Id="rId1" Type="http://schemas.openxmlformats.org/officeDocument/2006/relationships/hyperlink" Target="https://sco.ca.gov/ard_payments_protectiveservices.html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sco.ca.gov/ard_payments_lrf_recon.html" TargetMode="External"/><Relationship Id="rId3" Type="http://schemas.openxmlformats.org/officeDocument/2006/relationships/hyperlink" Target="https://sco.ca.gov/ard_payments_lrf_recon.html" TargetMode="External"/><Relationship Id="rId7" Type="http://schemas.openxmlformats.org/officeDocument/2006/relationships/hyperlink" Target="https://sco.ca.gov/ard_payments_lrf_recon.html" TargetMode="External"/><Relationship Id="rId2" Type="http://schemas.openxmlformats.org/officeDocument/2006/relationships/hyperlink" Target="http://www.sco.ca.gov/ard_payments_protectiveservices.html" TargetMode="External"/><Relationship Id="rId1" Type="http://schemas.openxmlformats.org/officeDocument/2006/relationships/hyperlink" Target="https://sco.ca.gov/ard_payments_lrf_recon.html" TargetMode="External"/><Relationship Id="rId6" Type="http://schemas.openxmlformats.org/officeDocument/2006/relationships/hyperlink" Target="https://sco.ca.gov/ard_payments_lrf_recon.html" TargetMode="External"/><Relationship Id="rId5" Type="http://schemas.openxmlformats.org/officeDocument/2006/relationships/hyperlink" Target="https://sco.ca.gov/ard_payments_lrf_recon.html" TargetMode="External"/><Relationship Id="rId10" Type="http://schemas.openxmlformats.org/officeDocument/2006/relationships/drawing" Target="../drawings/drawing3.xml"/><Relationship Id="rId4" Type="http://schemas.openxmlformats.org/officeDocument/2006/relationships/hyperlink" Target="https://sco.ca.gov/ard_payments_lrf_recon.html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sco.ca.gov/ard_payments_lrf_recon.html" TargetMode="External"/><Relationship Id="rId3" Type="http://schemas.openxmlformats.org/officeDocument/2006/relationships/hyperlink" Target="http://www.sco.ca.gov/ard_payments_lrf_recon.html" TargetMode="External"/><Relationship Id="rId7" Type="http://schemas.openxmlformats.org/officeDocument/2006/relationships/hyperlink" Target="https://sco.ca.gov/ard_payments_lrf_recon.html" TargetMode="External"/><Relationship Id="rId2" Type="http://schemas.openxmlformats.org/officeDocument/2006/relationships/hyperlink" Target="https://sco.ca.gov/ard_payments_lrf_recon.html" TargetMode="External"/><Relationship Id="rId1" Type="http://schemas.openxmlformats.org/officeDocument/2006/relationships/hyperlink" Target="https://sco.ca.gov/ard_payments_lrf_recon.html" TargetMode="External"/><Relationship Id="rId6" Type="http://schemas.openxmlformats.org/officeDocument/2006/relationships/hyperlink" Target="https://sco.ca.gov/ard_payments_lrf_recon.html" TargetMode="External"/><Relationship Id="rId5" Type="http://schemas.openxmlformats.org/officeDocument/2006/relationships/hyperlink" Target="https://sco.ca.gov/ard_payments_lrf_recon.html" TargetMode="External"/><Relationship Id="rId10" Type="http://schemas.openxmlformats.org/officeDocument/2006/relationships/printerSettings" Target="../printerSettings/printerSettings5.bin"/><Relationship Id="rId4" Type="http://schemas.openxmlformats.org/officeDocument/2006/relationships/hyperlink" Target="http://www.sco.ca.gov/ard_payments_lrf_recon.html" TargetMode="External"/><Relationship Id="rId9" Type="http://schemas.openxmlformats.org/officeDocument/2006/relationships/hyperlink" Target="https://sco.ca.gov/ard_payments_lrf_recon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sco.ca.gov/ard_payments_womenandchildrenresidemtialtreatment.html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s://sco.ca.gov/ard_payments_behavioralhealth.html" TargetMode="External"/><Relationship Id="rId1" Type="http://schemas.openxmlformats.org/officeDocument/2006/relationships/hyperlink" Target="https://sco.ca.gov/ard_payments_protectiveservices.html" TargetMode="External"/><Relationship Id="rId6" Type="http://schemas.openxmlformats.org/officeDocument/2006/relationships/hyperlink" Target="https://sco.ca.gov/ard_payments_womenandchildrenresidemtialtreatment.html" TargetMode="External"/><Relationship Id="rId5" Type="http://schemas.openxmlformats.org/officeDocument/2006/relationships/hyperlink" Target="https://sco.ca.gov/ard_payments_behavioralhealth.html" TargetMode="External"/><Relationship Id="rId4" Type="http://schemas.openxmlformats.org/officeDocument/2006/relationships/hyperlink" Target="https://sco.ca.gov/ard_payments_protectiveservices.html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sco.ca.gov/ard_local_apportionments.html" TargetMode="External"/><Relationship Id="rId3" Type="http://schemas.openxmlformats.org/officeDocument/2006/relationships/hyperlink" Target="https://sco.ca.gov/ard_payments_daandpubdef.html" TargetMode="External"/><Relationship Id="rId7" Type="http://schemas.openxmlformats.org/officeDocument/2006/relationships/hyperlink" Target="https://sco.ca.gov/ard_payments_daandpubdef.html" TargetMode="External"/><Relationship Id="rId2" Type="http://schemas.openxmlformats.org/officeDocument/2006/relationships/hyperlink" Target="https://sco.ca.gov/ard_payments_local_community.html" TargetMode="External"/><Relationship Id="rId1" Type="http://schemas.openxmlformats.org/officeDocument/2006/relationships/hyperlink" Target="https://sco.ca.gov/ard_payments_trialcourtsecurity.html" TargetMode="External"/><Relationship Id="rId6" Type="http://schemas.openxmlformats.org/officeDocument/2006/relationships/hyperlink" Target="https://sco.ca.gov/ard_payments_local_community.html" TargetMode="External"/><Relationship Id="rId5" Type="http://schemas.openxmlformats.org/officeDocument/2006/relationships/hyperlink" Target="https://sco.ca.gov/ard_payments_trialcourtsecurity.html" TargetMode="External"/><Relationship Id="rId4" Type="http://schemas.openxmlformats.org/officeDocument/2006/relationships/hyperlink" Target="https://sco.ca.gov/ard_local_apportionments.html" TargetMode="External"/><Relationship Id="rId9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55"/>
  <sheetViews>
    <sheetView workbookViewId="0">
      <selection activeCell="O27" sqref="O27"/>
    </sheetView>
  </sheetViews>
  <sheetFormatPr defaultRowHeight="14.25" x14ac:dyDescent="0.45"/>
  <sheetData>
    <row r="1" spans="1:6" ht="15.4" x14ac:dyDescent="0.45">
      <c r="A1" s="319" t="s">
        <v>112</v>
      </c>
    </row>
    <row r="2" spans="1:6" ht="15.4" x14ac:dyDescent="0.45">
      <c r="A2" s="319"/>
    </row>
    <row r="3" spans="1:6" ht="15.4" x14ac:dyDescent="0.45">
      <c r="A3" s="319" t="s">
        <v>238</v>
      </c>
    </row>
    <row r="4" spans="1:6" ht="15.4" x14ac:dyDescent="0.45">
      <c r="A4" s="319"/>
    </row>
    <row r="5" spans="1:6" ht="15.4" x14ac:dyDescent="0.45">
      <c r="A5" s="319"/>
    </row>
    <row r="6" spans="1:6" ht="15.4" x14ac:dyDescent="0.45">
      <c r="A6" s="319"/>
    </row>
    <row r="7" spans="1:6" ht="15.4" x14ac:dyDescent="0.45">
      <c r="A7" s="319" t="s">
        <v>240</v>
      </c>
    </row>
    <row r="8" spans="1:6" ht="15.4" x14ac:dyDescent="0.45">
      <c r="A8" s="319"/>
    </row>
    <row r="9" spans="1:6" ht="15.4" x14ac:dyDescent="0.45">
      <c r="A9" s="320" t="s">
        <v>239</v>
      </c>
    </row>
    <row r="10" spans="1:6" ht="15.4" x14ac:dyDescent="0.45">
      <c r="A10" s="320" t="s">
        <v>113</v>
      </c>
    </row>
    <row r="11" spans="1:6" ht="15.4" x14ac:dyDescent="0.45">
      <c r="A11" s="320" t="s">
        <v>267</v>
      </c>
    </row>
    <row r="12" spans="1:6" ht="15.4" x14ac:dyDescent="0.45">
      <c r="A12" s="320"/>
      <c r="B12" s="457" t="s">
        <v>269</v>
      </c>
    </row>
    <row r="13" spans="1:6" ht="15.4" x14ac:dyDescent="0.45">
      <c r="A13" s="320" t="s">
        <v>123</v>
      </c>
    </row>
    <row r="14" spans="1:6" ht="15.4" x14ac:dyDescent="0.45">
      <c r="A14" s="320"/>
      <c r="B14" s="455" t="s">
        <v>247</v>
      </c>
    </row>
    <row r="15" spans="1:6" ht="15.4" x14ac:dyDescent="0.45">
      <c r="A15" s="320"/>
      <c r="B15" s="455" t="s">
        <v>246</v>
      </c>
      <c r="E15" s="321"/>
      <c r="F15" s="321"/>
    </row>
    <row r="16" spans="1:6" ht="15.4" x14ac:dyDescent="0.45">
      <c r="A16" s="320"/>
      <c r="B16" s="321" t="s">
        <v>122</v>
      </c>
      <c r="F16" s="321"/>
    </row>
    <row r="17" spans="1:6" ht="15.4" x14ac:dyDescent="0.45">
      <c r="A17" s="320"/>
      <c r="B17" s="321"/>
      <c r="F17" s="321"/>
    </row>
    <row r="18" spans="1:6" ht="15.4" x14ac:dyDescent="0.45">
      <c r="A18" s="320"/>
      <c r="B18" s="321"/>
      <c r="F18" s="321"/>
    </row>
    <row r="19" spans="1:6" ht="15.4" x14ac:dyDescent="0.45">
      <c r="A19" s="347" t="s">
        <v>241</v>
      </c>
      <c r="B19" s="348"/>
      <c r="F19" s="321"/>
    </row>
    <row r="20" spans="1:6" ht="15.4" x14ac:dyDescent="0.45">
      <c r="A20" s="347"/>
      <c r="B20" s="348"/>
      <c r="F20" s="321"/>
    </row>
    <row r="21" spans="1:6" ht="15.4" x14ac:dyDescent="0.45">
      <c r="A21" s="349"/>
      <c r="B21" s="347"/>
    </row>
    <row r="22" spans="1:6" ht="15.4" x14ac:dyDescent="0.45">
      <c r="A22" s="319" t="s">
        <v>242</v>
      </c>
    </row>
    <row r="23" spans="1:6" ht="15.4" x14ac:dyDescent="0.45">
      <c r="A23" s="319"/>
    </row>
    <row r="24" spans="1:6" ht="15.4" x14ac:dyDescent="0.45">
      <c r="A24" s="320" t="s">
        <v>243</v>
      </c>
    </row>
    <row r="25" spans="1:6" ht="15.4" x14ac:dyDescent="0.45">
      <c r="A25" s="320"/>
      <c r="B25" s="320" t="s">
        <v>244</v>
      </c>
    </row>
    <row r="26" spans="1:6" ht="15.4" x14ac:dyDescent="0.45">
      <c r="A26" s="320" t="s">
        <v>113</v>
      </c>
    </row>
    <row r="27" spans="1:6" ht="15.4" x14ac:dyDescent="0.45">
      <c r="A27" s="320" t="s">
        <v>268</v>
      </c>
    </row>
    <row r="28" spans="1:6" ht="15.4" x14ac:dyDescent="0.45">
      <c r="A28" s="320"/>
      <c r="B28" s="320" t="s">
        <v>270</v>
      </c>
    </row>
    <row r="29" spans="1:6" ht="15.4" x14ac:dyDescent="0.45">
      <c r="A29" s="320" t="s">
        <v>123</v>
      </c>
    </row>
    <row r="30" spans="1:6" ht="15.4" x14ac:dyDescent="0.45">
      <c r="A30" s="320"/>
      <c r="B30" s="455" t="s">
        <v>245</v>
      </c>
    </row>
    <row r="31" spans="1:6" ht="15.4" x14ac:dyDescent="0.45">
      <c r="A31" s="320"/>
      <c r="B31" s="457" t="s">
        <v>248</v>
      </c>
      <c r="E31" s="321"/>
      <c r="F31" s="458" t="s">
        <v>249</v>
      </c>
    </row>
    <row r="32" spans="1:6" ht="15.4" x14ac:dyDescent="0.45">
      <c r="A32" s="320"/>
      <c r="B32" s="455" t="s">
        <v>250</v>
      </c>
      <c r="F32" s="458" t="s">
        <v>251</v>
      </c>
    </row>
    <row r="33" spans="1:6" ht="15.4" x14ac:dyDescent="0.45">
      <c r="A33" s="320"/>
      <c r="B33" s="321" t="s">
        <v>252</v>
      </c>
      <c r="F33" s="458"/>
    </row>
    <row r="34" spans="1:6" ht="15.4" x14ac:dyDescent="0.45">
      <c r="A34" s="320"/>
      <c r="B34" s="321"/>
      <c r="F34" s="458"/>
    </row>
    <row r="35" spans="1:6" ht="15.4" x14ac:dyDescent="0.45">
      <c r="A35" s="347" t="s">
        <v>264</v>
      </c>
      <c r="B35" s="348"/>
      <c r="F35" s="321"/>
    </row>
    <row r="36" spans="1:6" ht="15.4" x14ac:dyDescent="0.45">
      <c r="A36" s="347"/>
      <c r="B36" s="546" t="s">
        <v>262</v>
      </c>
      <c r="F36" s="321"/>
    </row>
    <row r="37" spans="1:6" ht="15.4" x14ac:dyDescent="0.45">
      <c r="A37" s="347"/>
      <c r="B37" s="546" t="s">
        <v>263</v>
      </c>
      <c r="F37" s="321"/>
    </row>
    <row r="38" spans="1:6" ht="15.4" x14ac:dyDescent="0.45">
      <c r="A38" s="349"/>
      <c r="B38" s="60"/>
    </row>
    <row r="39" spans="1:6" ht="15.4" x14ac:dyDescent="0.45">
      <c r="A39" s="319" t="s">
        <v>114</v>
      </c>
    </row>
    <row r="40" spans="1:6" ht="15.4" x14ac:dyDescent="0.45">
      <c r="A40" s="319"/>
    </row>
    <row r="41" spans="1:6" ht="15.4" x14ac:dyDescent="0.45">
      <c r="A41" s="320" t="s">
        <v>115</v>
      </c>
    </row>
    <row r="42" spans="1:6" ht="15.4" x14ac:dyDescent="0.45">
      <c r="A42" s="320" t="s">
        <v>116</v>
      </c>
    </row>
    <row r="43" spans="1:6" ht="15.4" x14ac:dyDescent="0.45">
      <c r="A43" s="320" t="s">
        <v>259</v>
      </c>
    </row>
    <row r="44" spans="1:6" ht="15.4" x14ac:dyDescent="0.45">
      <c r="A44" s="319"/>
    </row>
    <row r="45" spans="1:6" ht="15.4" x14ac:dyDescent="0.45">
      <c r="A45" s="319" t="s">
        <v>117</v>
      </c>
    </row>
    <row r="46" spans="1:6" ht="15.4" x14ac:dyDescent="0.45">
      <c r="A46" s="319"/>
    </row>
    <row r="47" spans="1:6" ht="15.4" x14ac:dyDescent="0.45">
      <c r="A47" s="320" t="s">
        <v>124</v>
      </c>
    </row>
    <row r="48" spans="1:6" ht="15.4" x14ac:dyDescent="0.45">
      <c r="A48" s="319"/>
    </row>
    <row r="49" spans="1:1" ht="15.4" x14ac:dyDescent="0.45">
      <c r="A49" s="319" t="s">
        <v>118</v>
      </c>
    </row>
    <row r="50" spans="1:1" ht="15.4" x14ac:dyDescent="0.45">
      <c r="A50" s="319"/>
    </row>
    <row r="51" spans="1:1" ht="15.4" x14ac:dyDescent="0.45">
      <c r="A51" s="320" t="s">
        <v>119</v>
      </c>
    </row>
    <row r="52" spans="1:1" ht="15.4" x14ac:dyDescent="0.45">
      <c r="A52" s="319"/>
    </row>
    <row r="53" spans="1:1" ht="15.4" x14ac:dyDescent="0.45">
      <c r="A53" s="319" t="s">
        <v>120</v>
      </c>
    </row>
    <row r="54" spans="1:1" ht="15.4" x14ac:dyDescent="0.45">
      <c r="A54" s="319"/>
    </row>
    <row r="55" spans="1:1" ht="15.4" x14ac:dyDescent="0.45">
      <c r="A55" s="320" t="s">
        <v>121</v>
      </c>
    </row>
  </sheetData>
  <phoneticPr fontId="18" type="noConversion"/>
  <hyperlinks>
    <hyperlink ref="B14" r:id="rId1" display="Statewide Distribution"/>
    <hyperlink ref="B16" r:id="rId2"/>
    <hyperlink ref="B30" r:id="rId3" display="Statewide Distribution"/>
    <hyperlink ref="B32" r:id="rId4" display="Behavioral Health Distribution"/>
    <hyperlink ref="B15" r:id="rId5" display="Protective Services Distribution"/>
    <hyperlink ref="B33" r:id="rId6"/>
  </hyperlinks>
  <pageMargins left="0" right="0" top="0" bottom="0" header="0.5" footer="0.5"/>
  <pageSetup scale="87" orientation="portrait" r:id="rId7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6"/>
  <sheetViews>
    <sheetView workbookViewId="0">
      <selection activeCell="E34" sqref="E34"/>
    </sheetView>
  </sheetViews>
  <sheetFormatPr defaultColWidth="9.1328125" defaultRowHeight="14.25" x14ac:dyDescent="0.45"/>
  <cols>
    <col min="1" max="1" width="30.265625" style="627" customWidth="1"/>
    <col min="2" max="2" width="17.73046875" style="628" customWidth="1"/>
    <col min="3" max="3" width="18.59765625" style="629" customWidth="1"/>
    <col min="4" max="5" width="18.1328125" style="629" customWidth="1"/>
    <col min="6" max="6" width="19.86328125" style="629" customWidth="1"/>
    <col min="7" max="7" width="10.86328125" style="629" bestFit="1" customWidth="1"/>
    <col min="8" max="8" width="9.1328125" style="629"/>
    <col min="9" max="9" width="11" style="629" bestFit="1" customWidth="1"/>
    <col min="10" max="10" width="9.1328125" style="629"/>
    <col min="11" max="11" width="13.59765625" style="629" bestFit="1" customWidth="1"/>
    <col min="12" max="12" width="9.1328125" style="629"/>
    <col min="13" max="13" width="16.1328125" style="629" bestFit="1" customWidth="1"/>
    <col min="14" max="16384" width="9.1328125" style="629"/>
  </cols>
  <sheetData>
    <row r="1" spans="1:256" x14ac:dyDescent="0.45">
      <c r="B1" s="628" t="s">
        <v>288</v>
      </c>
    </row>
    <row r="3" spans="1:256" x14ac:dyDescent="0.45">
      <c r="I3" s="629" t="s">
        <v>302</v>
      </c>
    </row>
    <row r="4" spans="1:256" ht="28.5" x14ac:dyDescent="0.45">
      <c r="A4" s="630" t="s">
        <v>289</v>
      </c>
      <c r="B4" s="631"/>
      <c r="C4" s="24"/>
      <c r="D4" s="24"/>
      <c r="E4" s="24"/>
      <c r="F4" s="632" t="s">
        <v>290</v>
      </c>
      <c r="G4" s="632" t="s">
        <v>291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</row>
    <row r="5" spans="1:256" x14ac:dyDescent="0.45">
      <c r="A5" s="627" t="s">
        <v>292</v>
      </c>
      <c r="F5" s="628">
        <f>F15</f>
        <v>3774275549.7208996</v>
      </c>
      <c r="G5" s="633">
        <f>F5/F$7</f>
        <v>0.6616323426983417</v>
      </c>
      <c r="I5" s="629">
        <f>3022091830+5104000</f>
        <v>3027195830</v>
      </c>
      <c r="K5" s="628">
        <f>F5-I5</f>
        <v>747079719.72089958</v>
      </c>
    </row>
    <row r="6" spans="1:256" x14ac:dyDescent="0.45">
      <c r="A6" s="627" t="s">
        <v>293</v>
      </c>
      <c r="F6" s="634">
        <f>F23</f>
        <v>1930215156.2930093</v>
      </c>
      <c r="G6" s="633">
        <f>F6/F$7</f>
        <v>0.33836765730165835</v>
      </c>
      <c r="I6" s="629">
        <f>2078278924-489900000</f>
        <v>1588378924</v>
      </c>
      <c r="K6" s="628">
        <f>F6-I6</f>
        <v>341836232.29300928</v>
      </c>
    </row>
    <row r="7" spans="1:256" x14ac:dyDescent="0.45">
      <c r="F7" s="628">
        <f>SUM(F5:F6)</f>
        <v>5704490706.0139084</v>
      </c>
      <c r="I7" s="629">
        <f>SUM(I5:I6)</f>
        <v>4615574754</v>
      </c>
      <c r="K7" s="628">
        <f>F7-I7</f>
        <v>1088915952.0139084</v>
      </c>
    </row>
    <row r="8" spans="1:256" x14ac:dyDescent="0.45">
      <c r="A8" s="642" t="s">
        <v>303</v>
      </c>
      <c r="F8" s="628">
        <f>93379252*12</f>
        <v>1120551024</v>
      </c>
      <c r="K8" s="628"/>
    </row>
    <row r="9" spans="1:256" x14ac:dyDescent="0.45">
      <c r="A9" s="642" t="s">
        <v>304</v>
      </c>
      <c r="F9" s="628">
        <f>+F7+F8</f>
        <v>6825041730.0139084</v>
      </c>
      <c r="K9" s="628"/>
    </row>
    <row r="12" spans="1:256" ht="28.5" x14ac:dyDescent="0.45">
      <c r="A12" s="630" t="s">
        <v>292</v>
      </c>
      <c r="B12" s="635" t="s">
        <v>294</v>
      </c>
      <c r="C12" s="632" t="s">
        <v>295</v>
      </c>
      <c r="D12" s="632" t="s">
        <v>296</v>
      </c>
      <c r="E12" s="632" t="s">
        <v>301</v>
      </c>
      <c r="F12" s="632" t="s">
        <v>290</v>
      </c>
      <c r="G12" s="632" t="s">
        <v>297</v>
      </c>
    </row>
    <row r="13" spans="1:256" x14ac:dyDescent="0.45">
      <c r="A13" s="636" t="s">
        <v>83</v>
      </c>
      <c r="B13" s="637">
        <f>'County One Time Input-BASE'!B11</f>
        <v>2258027908.91605</v>
      </c>
      <c r="C13" s="637">
        <f>'County One Time Input-GROWTH'!B10+'County One Time Input-GROWTH'!B13</f>
        <v>70110424.091770917</v>
      </c>
      <c r="D13" s="637">
        <v>15333000</v>
      </c>
      <c r="E13" s="637">
        <v>18415168.289999999</v>
      </c>
      <c r="F13" s="637">
        <f>SUM(B13:E13)</f>
        <v>2361886501.297821</v>
      </c>
      <c r="G13" s="633">
        <f>F13/F$15</f>
        <v>0.62578539117857412</v>
      </c>
      <c r="I13" s="629">
        <v>1970716517</v>
      </c>
      <c r="K13" s="628">
        <f>F13-I13</f>
        <v>391169984.29782104</v>
      </c>
      <c r="M13" s="628"/>
    </row>
    <row r="14" spans="1:256" x14ac:dyDescent="0.45">
      <c r="A14" s="636" t="s">
        <v>84</v>
      </c>
      <c r="B14" s="638">
        <f>'County One Time Input-BASE'!B12+'County One Time Input-BASE'!B13</f>
        <v>1333722217.6800001</v>
      </c>
      <c r="C14" s="638">
        <f>'County One Time Input-GROWTH'!B14</f>
        <v>77900471.213078797</v>
      </c>
      <c r="D14" s="638"/>
      <c r="E14" s="638">
        <v>766359.53</v>
      </c>
      <c r="F14" s="638">
        <f>SUM(B14:E14)</f>
        <v>1412389048.4230788</v>
      </c>
      <c r="G14" s="633">
        <f>F14/F$15</f>
        <v>0.37421460882142593</v>
      </c>
      <c r="I14" s="629">
        <f>1051375313+5104000</f>
        <v>1056479313</v>
      </c>
      <c r="K14" s="628">
        <f>F14-I14</f>
        <v>355909735.42307878</v>
      </c>
      <c r="M14" s="628"/>
    </row>
    <row r="15" spans="1:256" x14ac:dyDescent="0.45">
      <c r="A15" s="639" t="s">
        <v>298</v>
      </c>
      <c r="B15" s="637">
        <f>SUM(B13:B14)</f>
        <v>3591750126.5960503</v>
      </c>
      <c r="C15" s="637">
        <f>SUM(C13:C14)</f>
        <v>148010895.30484971</v>
      </c>
      <c r="D15" s="637">
        <f>SUM(D13:D14)</f>
        <v>15333000</v>
      </c>
      <c r="E15" s="637"/>
      <c r="F15" s="637">
        <f>SUM(F13:F14)</f>
        <v>3774275549.7208996</v>
      </c>
      <c r="I15" s="629">
        <f>SUM(I13:I14)</f>
        <v>3027195830</v>
      </c>
      <c r="K15" s="628">
        <f>F15-I15</f>
        <v>747079719.72089958</v>
      </c>
    </row>
    <row r="16" spans="1:256" x14ac:dyDescent="0.45">
      <c r="B16" s="637"/>
      <c r="C16" s="637"/>
      <c r="D16" s="637"/>
      <c r="E16" s="637"/>
      <c r="F16" s="637"/>
    </row>
    <row r="17" spans="1:11" x14ac:dyDescent="0.45">
      <c r="B17" s="637"/>
      <c r="C17" s="637"/>
      <c r="D17" s="637"/>
      <c r="E17" s="637"/>
      <c r="F17" s="637"/>
    </row>
    <row r="18" spans="1:11" ht="28.5" x14ac:dyDescent="0.45">
      <c r="A18" s="630" t="s">
        <v>299</v>
      </c>
      <c r="B18" s="635" t="s">
        <v>294</v>
      </c>
      <c r="C18" s="632" t="s">
        <v>295</v>
      </c>
      <c r="D18" s="632" t="s">
        <v>296</v>
      </c>
      <c r="E18" s="632"/>
      <c r="F18" s="632" t="s">
        <v>290</v>
      </c>
      <c r="G18" s="632" t="s">
        <v>297</v>
      </c>
    </row>
    <row r="19" spans="1:11" x14ac:dyDescent="0.45">
      <c r="A19" s="640" t="s">
        <v>85</v>
      </c>
      <c r="B19" s="637">
        <f>'County One Time Input-BASE'!B27</f>
        <v>550340286.53725004</v>
      </c>
      <c r="C19" s="637">
        <f>'County One Time Input-GROWTH'!B23</f>
        <v>8389281.5152546391</v>
      </c>
      <c r="D19" s="637"/>
      <c r="E19" s="637">
        <v>1087212.1000000001</v>
      </c>
      <c r="F19" s="641">
        <f>SUM(B19:E19)</f>
        <v>559816780.15250468</v>
      </c>
      <c r="G19" s="633">
        <f>F19/F$15</f>
        <v>0.14832430032669502</v>
      </c>
      <c r="I19" s="629">
        <v>518051962</v>
      </c>
      <c r="K19" s="628">
        <f>F19-I19</f>
        <v>41764818.152504683</v>
      </c>
    </row>
    <row r="20" spans="1:11" x14ac:dyDescent="0.45">
      <c r="A20" s="640" t="s">
        <v>86</v>
      </c>
      <c r="B20" s="637">
        <f>'County One Time Input-BASE'!B28</f>
        <v>1241062433.724375</v>
      </c>
      <c r="C20" s="637">
        <f>'County One Time Input-GROWTH'!B24</f>
        <v>62919611.364409789</v>
      </c>
      <c r="D20" s="637">
        <v>-64800000</v>
      </c>
      <c r="E20" s="637">
        <v>2227158.58</v>
      </c>
      <c r="F20" s="641">
        <f>+B20+D20</f>
        <v>1176262433.724375</v>
      </c>
      <c r="G20" s="633">
        <f>F20/F$15</f>
        <v>0.31165250608460671</v>
      </c>
      <c r="I20" s="629">
        <v>934100000</v>
      </c>
      <c r="K20" s="628">
        <f>F20-I20</f>
        <v>242162433.72437501</v>
      </c>
    </row>
    <row r="21" spans="1:11" x14ac:dyDescent="0.45">
      <c r="A21" s="640" t="s">
        <v>87</v>
      </c>
      <c r="B21" s="637">
        <f>'County One Time Input-BASE'!B29</f>
        <v>33244162.253625002</v>
      </c>
      <c r="C21" s="637">
        <f>'County One Time Input-GROWTH'!B25</f>
        <v>4194640.7576273195</v>
      </c>
      <c r="D21" s="637">
        <v>-1300000</v>
      </c>
      <c r="E21" s="637">
        <v>148477.24</v>
      </c>
      <c r="F21" s="641">
        <f>+B21+D21</f>
        <v>31944162.253625002</v>
      </c>
      <c r="G21" s="633">
        <f>F21/F$15</f>
        <v>8.4636539735386332E-3</v>
      </c>
      <c r="I21" s="629">
        <v>15800000</v>
      </c>
      <c r="K21" s="628">
        <f>F21-I21</f>
        <v>16144162.253625002</v>
      </c>
    </row>
    <row r="22" spans="1:11" x14ac:dyDescent="0.45">
      <c r="A22" s="640" t="s">
        <v>105</v>
      </c>
      <c r="B22" s="638">
        <f>'County One Time Input-BASE'!B30</f>
        <v>152715286.53724998</v>
      </c>
      <c r="C22" s="638">
        <f>'County One Time Input-GROWTH'!B26</f>
        <v>8389281.5152546391</v>
      </c>
      <c r="D22" s="638"/>
      <c r="E22" s="638">
        <f>1027208.87+60003.24</f>
        <v>1087212.1100000001</v>
      </c>
      <c r="F22" s="638">
        <f>SUM(B22:E22)</f>
        <v>162191780.16250464</v>
      </c>
      <c r="G22" s="633">
        <f>F22/F$15</f>
        <v>4.2972956803458195E-2</v>
      </c>
      <c r="I22" s="629">
        <v>120426962</v>
      </c>
      <c r="K22" s="628">
        <f>F22-I22</f>
        <v>41764818.162504643</v>
      </c>
    </row>
    <row r="23" spans="1:11" x14ac:dyDescent="0.45">
      <c r="A23" s="639" t="s">
        <v>300</v>
      </c>
      <c r="B23" s="637">
        <f>SUM(B19:B22)</f>
        <v>1977362169.0525</v>
      </c>
      <c r="C23" s="637">
        <f>SUM(C19:C22)</f>
        <v>83892815.152546376</v>
      </c>
      <c r="D23" s="637">
        <f>SUM(D19:D22)</f>
        <v>-66100000</v>
      </c>
      <c r="E23" s="637"/>
      <c r="F23" s="637">
        <f>SUM(F19:F22)</f>
        <v>1930215156.2930093</v>
      </c>
      <c r="K23" s="628">
        <f>SUM(K19:K22)</f>
        <v>341836232.29300928</v>
      </c>
    </row>
    <row r="25" spans="1:11" x14ac:dyDescent="0.45">
      <c r="E25" s="628">
        <f>SUM(E13:E22)</f>
        <v>23731587.849999998</v>
      </c>
      <c r="F25" s="628"/>
    </row>
    <row r="26" spans="1:11" x14ac:dyDescent="0.45">
      <c r="E26" s="629">
        <f>+E25*0.641975</f>
        <v>15235086.110003747</v>
      </c>
    </row>
    <row r="34" spans="5:9" x14ac:dyDescent="0.45">
      <c r="E34" s="628"/>
    </row>
    <row r="36" spans="5:9" x14ac:dyDescent="0.45">
      <c r="I36" s="629" t="s">
        <v>306</v>
      </c>
    </row>
  </sheetData>
  <hyperlinks>
    <hyperlink ref="A13" r:id="rId1" display="http://www.sco.ca.gov/ard_payments_lrf_recon.html"/>
    <hyperlink ref="A14" r:id="rId2" display="http://www.sco.ca.gov/ard_payments_lrf_recon.html"/>
    <hyperlink ref="A19" r:id="rId3" display="http://www.sco.ca.gov/ard_payments_lrf_recon.html"/>
    <hyperlink ref="A20" r:id="rId4" display="http://www.sco.ca.gov/ard_payments_lrf_recon.html"/>
    <hyperlink ref="A21" r:id="rId5" display="http://www.sco.ca.gov/ard_payments_lrf_recon.html"/>
    <hyperlink ref="A22" r:id="rId6" display="http://www.sco.ca.gov/ard_payments_lrf_recon.html"/>
  </hyperlinks>
  <pageMargins left="0.7" right="0.7" top="0.75" bottom="0.75" header="0.3" footer="0.3"/>
  <pageSetup scale="69" orientation="landscape" r:id="rId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opLeftCell="A10" workbookViewId="0">
      <selection activeCell="M39" sqref="M39"/>
    </sheetView>
  </sheetViews>
  <sheetFormatPr defaultColWidth="9.1328125" defaultRowHeight="14.25" x14ac:dyDescent="0.45"/>
  <cols>
    <col min="1" max="1" width="30.265625" style="627" bestFit="1" customWidth="1"/>
    <col min="2" max="2" width="17.73046875" style="628" customWidth="1"/>
    <col min="3" max="3" width="18.86328125" style="629" customWidth="1"/>
    <col min="4" max="4" width="19.59765625" style="629" customWidth="1"/>
    <col min="5" max="5" width="19.86328125" style="629" customWidth="1"/>
    <col min="6" max="6" width="15.265625" style="629" bestFit="1" customWidth="1"/>
    <col min="7" max="16384" width="9.1328125" style="629"/>
  </cols>
  <sheetData>
    <row r="1" spans="1:6" x14ac:dyDescent="0.45">
      <c r="B1" s="628" t="s">
        <v>347</v>
      </c>
    </row>
    <row r="4" spans="1:6" s="24" customFormat="1" ht="28.5" x14ac:dyDescent="0.45">
      <c r="A4" s="630" t="s">
        <v>289</v>
      </c>
      <c r="B4" s="631"/>
      <c r="E4" s="632" t="s">
        <v>290</v>
      </c>
      <c r="F4" s="632" t="s">
        <v>291</v>
      </c>
    </row>
    <row r="5" spans="1:6" x14ac:dyDescent="0.45">
      <c r="A5" s="627" t="s">
        <v>292</v>
      </c>
      <c r="E5" s="628">
        <f>E13</f>
        <v>3739761021.9008999</v>
      </c>
      <c r="F5" s="633">
        <f>E5/E$7</f>
        <v>0.64467345340274163</v>
      </c>
    </row>
    <row r="6" spans="1:6" x14ac:dyDescent="0.45">
      <c r="A6" s="627" t="s">
        <v>293</v>
      </c>
      <c r="E6" s="634">
        <f>E21</f>
        <v>2061254984.2050462</v>
      </c>
      <c r="F6" s="633">
        <f>E6/E$7</f>
        <v>0.35532654659725843</v>
      </c>
    </row>
    <row r="7" spans="1:6" x14ac:dyDescent="0.45">
      <c r="E7" s="628">
        <f>SUM(E5:E6)</f>
        <v>5801016006.1059456</v>
      </c>
    </row>
    <row r="10" spans="1:6" ht="28.5" x14ac:dyDescent="0.45">
      <c r="A10" s="630" t="s">
        <v>292</v>
      </c>
      <c r="B10" s="635" t="s">
        <v>294</v>
      </c>
      <c r="C10" s="632" t="s">
        <v>295</v>
      </c>
      <c r="D10" s="632" t="s">
        <v>296</v>
      </c>
      <c r="E10" s="632" t="s">
        <v>290</v>
      </c>
      <c r="F10" s="632" t="s">
        <v>297</v>
      </c>
    </row>
    <row r="11" spans="1:6" x14ac:dyDescent="0.45">
      <c r="A11" s="636" t="s">
        <v>83</v>
      </c>
      <c r="B11" s="637">
        <f>'County One Time Input-BASE'!B11</f>
        <v>2258027908.91605</v>
      </c>
      <c r="C11" s="637">
        <f>'County One Time Input-GROWTH'!B10</f>
        <v>70110424.091770917</v>
      </c>
      <c r="D11" s="637"/>
      <c r="E11" s="637">
        <f>SUM(B11:D11)</f>
        <v>2328138333.0078211</v>
      </c>
      <c r="F11" s="633">
        <f>E11/E$13</f>
        <v>0.62253665926076773</v>
      </c>
    </row>
    <row r="12" spans="1:6" x14ac:dyDescent="0.45">
      <c r="A12" s="636" t="s">
        <v>84</v>
      </c>
      <c r="B12" s="638">
        <f>'County One Time Input-BASE'!B12+'County One Time Input-BASE'!B13</f>
        <v>1333722217.6800001</v>
      </c>
      <c r="C12" s="638">
        <f>'County One Time Input-GROWTH'!B14</f>
        <v>77900471.213078797</v>
      </c>
      <c r="D12" s="638"/>
      <c r="E12" s="638">
        <f>SUM(B12:D12)</f>
        <v>1411622688.8930788</v>
      </c>
      <c r="F12" s="633">
        <f>E12/E$13</f>
        <v>0.37746334073923227</v>
      </c>
    </row>
    <row r="13" spans="1:6" x14ac:dyDescent="0.45">
      <c r="A13" s="639" t="s">
        <v>298</v>
      </c>
      <c r="B13" s="637">
        <f>SUM(B11:B12)</f>
        <v>3591750126.5960503</v>
      </c>
      <c r="C13" s="637">
        <f>SUM(C11:C12)</f>
        <v>148010895.30484971</v>
      </c>
      <c r="D13" s="637">
        <f>SUM(D11:D12)</f>
        <v>0</v>
      </c>
      <c r="E13" s="637">
        <f>SUM(E11:E12)</f>
        <v>3739761021.9008999</v>
      </c>
    </row>
    <row r="14" spans="1:6" x14ac:dyDescent="0.45">
      <c r="B14" s="637"/>
      <c r="C14" s="637"/>
      <c r="D14" s="637"/>
      <c r="E14" s="637"/>
    </row>
    <row r="15" spans="1:6" x14ac:dyDescent="0.45">
      <c r="B15" s="637"/>
      <c r="C15" s="637"/>
      <c r="D15" s="637"/>
      <c r="E15" s="637"/>
    </row>
    <row r="16" spans="1:6" ht="28.5" x14ac:dyDescent="0.45">
      <c r="A16" s="630" t="s">
        <v>299</v>
      </c>
      <c r="B16" s="635" t="s">
        <v>294</v>
      </c>
      <c r="C16" s="632" t="s">
        <v>295</v>
      </c>
      <c r="D16" s="632" t="s">
        <v>296</v>
      </c>
      <c r="E16" s="632" t="s">
        <v>290</v>
      </c>
      <c r="F16" s="632" t="s">
        <v>297</v>
      </c>
    </row>
    <row r="17" spans="1:6" x14ac:dyDescent="0.45">
      <c r="A17" s="640" t="s">
        <v>85</v>
      </c>
      <c r="B17" s="637">
        <f>'County One Time Input-BASE'!B27</f>
        <v>550340286.53725004</v>
      </c>
      <c r="C17" s="637">
        <f>'County One Time Input-GROWTH'!B23</f>
        <v>8389281.5152546391</v>
      </c>
      <c r="D17" s="637"/>
      <c r="E17" s="641">
        <f>SUM(B17:D17)</f>
        <v>558729568.05250466</v>
      </c>
      <c r="F17" s="633">
        <f>E17/E$21</f>
        <v>0.27106280995506582</v>
      </c>
    </row>
    <row r="18" spans="1:6" x14ac:dyDescent="0.45">
      <c r="A18" s="640" t="s">
        <v>86</v>
      </c>
      <c r="B18" s="637">
        <f>'County One Time Input-BASE'!B28</f>
        <v>1241062433.724375</v>
      </c>
      <c r="C18" s="637">
        <f>'County One Time Input-GROWTH'!B24</f>
        <v>62919611.364409789</v>
      </c>
      <c r="D18" s="637"/>
      <c r="E18" s="641">
        <f>SUM(B18:D18)</f>
        <v>1303982045.0887847</v>
      </c>
      <c r="F18" s="633">
        <f t="shared" ref="F18:F20" si="0">E18/E$21</f>
        <v>0.63261559345200802</v>
      </c>
    </row>
    <row r="19" spans="1:6" x14ac:dyDescent="0.45">
      <c r="A19" s="640" t="s">
        <v>87</v>
      </c>
      <c r="B19" s="637">
        <f>'County One Time Input-BASE'!B29</f>
        <v>33244162.253625002</v>
      </c>
      <c r="C19" s="637">
        <f>'County One Time Input-GROWTH'!B25</f>
        <v>4194640.7576273195</v>
      </c>
      <c r="D19" s="637"/>
      <c r="E19" s="641">
        <f>SUM(B19:D19)</f>
        <v>37438803.011252321</v>
      </c>
      <c r="F19" s="633">
        <f t="shared" si="0"/>
        <v>1.8163110967899566E-2</v>
      </c>
    </row>
    <row r="20" spans="1:6" x14ac:dyDescent="0.45">
      <c r="A20" s="640" t="s">
        <v>105</v>
      </c>
      <c r="B20" s="638">
        <f>'County One Time Input-BASE'!B30</f>
        <v>152715286.53724998</v>
      </c>
      <c r="C20" s="638">
        <f>'County One Time Input-GROWTH'!B26</f>
        <v>8389281.5152546391</v>
      </c>
      <c r="D20" s="638"/>
      <c r="E20" s="638">
        <f>SUM(B20:D20)</f>
        <v>161104568.05250463</v>
      </c>
      <c r="F20" s="633">
        <f t="shared" si="0"/>
        <v>7.8158485625026641E-2</v>
      </c>
    </row>
    <row r="21" spans="1:6" x14ac:dyDescent="0.45">
      <c r="A21" s="639" t="s">
        <v>300</v>
      </c>
      <c r="B21" s="637">
        <f>SUM(B17:B20)</f>
        <v>1977362169.0525</v>
      </c>
      <c r="C21" s="637">
        <f>SUM(C17:C20)</f>
        <v>83892815.152546376</v>
      </c>
      <c r="D21" s="637">
        <f>SUM(D17:D20)</f>
        <v>0</v>
      </c>
      <c r="E21" s="637">
        <f>SUM(E17:E20)</f>
        <v>2061254984.2050462</v>
      </c>
    </row>
    <row r="23" spans="1:6" x14ac:dyDescent="0.45">
      <c r="E23" s="628"/>
    </row>
    <row r="25" spans="1:6" x14ac:dyDescent="0.45">
      <c r="A25" s="627" t="s">
        <v>348</v>
      </c>
    </row>
    <row r="29" spans="1:6" x14ac:dyDescent="0.45">
      <c r="B29" s="628" t="s">
        <v>317</v>
      </c>
    </row>
    <row r="32" spans="1:6" ht="28.5" x14ac:dyDescent="0.45">
      <c r="A32" s="630" t="s">
        <v>289</v>
      </c>
      <c r="B32" s="631"/>
      <c r="C32" s="24"/>
      <c r="D32" s="24"/>
      <c r="E32" s="632" t="s">
        <v>290</v>
      </c>
      <c r="F32" s="632" t="s">
        <v>291</v>
      </c>
    </row>
    <row r="33" spans="1:6" x14ac:dyDescent="0.45">
      <c r="A33" s="627" t="s">
        <v>292</v>
      </c>
      <c r="E33" s="628">
        <f>E41</f>
        <v>0</v>
      </c>
      <c r="F33" s="633" t="e">
        <f>E33/E$35</f>
        <v>#DIV/0!</v>
      </c>
    </row>
    <row r="34" spans="1:6" x14ac:dyDescent="0.45">
      <c r="A34" s="627" t="s">
        <v>293</v>
      </c>
      <c r="E34" s="634">
        <f>E49</f>
        <v>0</v>
      </c>
      <c r="F34" s="633" t="e">
        <f>E34/E$35</f>
        <v>#DIV/0!</v>
      </c>
    </row>
    <row r="35" spans="1:6" x14ac:dyDescent="0.45">
      <c r="E35" s="628">
        <f>SUM(E33:E34)</f>
        <v>0</v>
      </c>
    </row>
    <row r="38" spans="1:6" ht="28.5" x14ac:dyDescent="0.45">
      <c r="A38" s="630" t="s">
        <v>292</v>
      </c>
      <c r="B38" s="635" t="s">
        <v>294</v>
      </c>
      <c r="C38" s="632" t="s">
        <v>295</v>
      </c>
      <c r="D38" s="632" t="s">
        <v>296</v>
      </c>
      <c r="E38" s="632" t="s">
        <v>290</v>
      </c>
      <c r="F38" s="632" t="s">
        <v>297</v>
      </c>
    </row>
    <row r="39" spans="1:6" x14ac:dyDescent="0.45">
      <c r="A39" s="636" t="s">
        <v>83</v>
      </c>
      <c r="B39" s="637"/>
      <c r="C39" s="637"/>
      <c r="D39" s="637"/>
      <c r="E39" s="637">
        <f>SUM(B39:D39)</f>
        <v>0</v>
      </c>
      <c r="F39" s="633" t="e">
        <f>E39/E$41</f>
        <v>#DIV/0!</v>
      </c>
    </row>
    <row r="40" spans="1:6" x14ac:dyDescent="0.45">
      <c r="A40" s="636" t="s">
        <v>84</v>
      </c>
      <c r="B40" s="638"/>
      <c r="C40" s="638"/>
      <c r="D40" s="638"/>
      <c r="E40" s="638">
        <f>SUM(B40:D40)</f>
        <v>0</v>
      </c>
      <c r="F40" s="633" t="e">
        <f>E40/E$41</f>
        <v>#DIV/0!</v>
      </c>
    </row>
    <row r="41" spans="1:6" x14ac:dyDescent="0.45">
      <c r="A41" s="639" t="s">
        <v>298</v>
      </c>
      <c r="B41" s="637">
        <f>SUM(B39:B40)</f>
        <v>0</v>
      </c>
      <c r="C41" s="637">
        <f>SUM(C39:C40)</f>
        <v>0</v>
      </c>
      <c r="D41" s="637">
        <f>SUM(D39:D40)</f>
        <v>0</v>
      </c>
      <c r="E41" s="637">
        <f>SUM(E39:E40)</f>
        <v>0</v>
      </c>
    </row>
    <row r="42" spans="1:6" x14ac:dyDescent="0.45">
      <c r="B42" s="637"/>
      <c r="C42" s="637"/>
      <c r="D42" s="637"/>
      <c r="E42" s="637"/>
    </row>
    <row r="43" spans="1:6" x14ac:dyDescent="0.45">
      <c r="B43" s="637"/>
      <c r="C43" s="637"/>
      <c r="D43" s="637"/>
      <c r="E43" s="637"/>
    </row>
    <row r="44" spans="1:6" ht="28.5" x14ac:dyDescent="0.45">
      <c r="A44" s="630" t="s">
        <v>299</v>
      </c>
      <c r="B44" s="635" t="s">
        <v>294</v>
      </c>
      <c r="C44" s="632" t="s">
        <v>295</v>
      </c>
      <c r="D44" s="632" t="s">
        <v>296</v>
      </c>
      <c r="E44" s="632" t="s">
        <v>290</v>
      </c>
      <c r="F44" s="632" t="s">
        <v>297</v>
      </c>
    </row>
    <row r="45" spans="1:6" x14ac:dyDescent="0.45">
      <c r="A45" s="640" t="s">
        <v>85</v>
      </c>
      <c r="B45" s="637"/>
      <c r="C45" s="637"/>
      <c r="D45" s="637"/>
      <c r="E45" s="641">
        <f>SUM(B45:D45)</f>
        <v>0</v>
      </c>
      <c r="F45" s="633" t="e">
        <f>E45/E$49</f>
        <v>#DIV/0!</v>
      </c>
    </row>
    <row r="46" spans="1:6" x14ac:dyDescent="0.45">
      <c r="A46" s="640" t="s">
        <v>86</v>
      </c>
      <c r="B46" s="637"/>
      <c r="C46" s="637"/>
      <c r="D46" s="637"/>
      <c r="E46" s="641">
        <f>SUM(B46:D46)</f>
        <v>0</v>
      </c>
      <c r="F46" s="633" t="e">
        <f>E46/E$49</f>
        <v>#DIV/0!</v>
      </c>
    </row>
    <row r="47" spans="1:6" x14ac:dyDescent="0.45">
      <c r="A47" s="640" t="s">
        <v>87</v>
      </c>
      <c r="B47" s="637"/>
      <c r="C47" s="637"/>
      <c r="D47" s="637"/>
      <c r="E47" s="641">
        <f>SUM(B47:D47)</f>
        <v>0</v>
      </c>
      <c r="F47" s="633" t="e">
        <f>E47/E$49</f>
        <v>#DIV/0!</v>
      </c>
    </row>
    <row r="48" spans="1:6" x14ac:dyDescent="0.45">
      <c r="A48" s="640" t="s">
        <v>105</v>
      </c>
      <c r="B48" s="638"/>
      <c r="C48" s="638"/>
      <c r="D48" s="638"/>
      <c r="E48" s="638">
        <f>SUM(B48:D48)</f>
        <v>0</v>
      </c>
      <c r="F48" s="633" t="e">
        <f>E48/E$49</f>
        <v>#DIV/0!</v>
      </c>
    </row>
    <row r="49" spans="1:5" x14ac:dyDescent="0.45">
      <c r="A49" s="639" t="s">
        <v>300</v>
      </c>
      <c r="B49" s="637">
        <f>SUM(B45:B48)</f>
        <v>0</v>
      </c>
      <c r="C49" s="637">
        <f>SUM(C45:C48)</f>
        <v>0</v>
      </c>
      <c r="D49" s="637">
        <f>SUM(D45:D48)</f>
        <v>0</v>
      </c>
      <c r="E49" s="637">
        <f>SUM(E45:E48)</f>
        <v>0</v>
      </c>
    </row>
    <row r="55" spans="1:5" x14ac:dyDescent="0.45">
      <c r="C55" s="662"/>
    </row>
    <row r="56" spans="1:5" x14ac:dyDescent="0.45">
      <c r="C56" s="662"/>
    </row>
    <row r="57" spans="1:5" x14ac:dyDescent="0.45">
      <c r="C57" s="662"/>
    </row>
    <row r="58" spans="1:5" ht="14.65" thickBot="1" x14ac:dyDescent="0.5">
      <c r="E58" s="629" t="s">
        <v>142</v>
      </c>
    </row>
    <row r="59" spans="1:5" ht="43.15" thickBot="1" x14ac:dyDescent="0.5">
      <c r="A59" s="228" t="s">
        <v>37</v>
      </c>
      <c r="B59" s="229" t="s">
        <v>307</v>
      </c>
      <c r="C59" s="230" t="s">
        <v>39</v>
      </c>
      <c r="E59" s="229" t="s">
        <v>307</v>
      </c>
    </row>
    <row r="60" spans="1:5" ht="6.75" customHeight="1" thickBot="1" x14ac:dyDescent="0.5">
      <c r="A60" s="663"/>
      <c r="B60" s="192"/>
      <c r="C60" s="186"/>
      <c r="E60" s="192"/>
    </row>
    <row r="61" spans="1:5" x14ac:dyDescent="0.45">
      <c r="A61" s="193" t="s">
        <v>32</v>
      </c>
      <c r="B61" s="240">
        <f t="shared" ref="B61:B66" si="1">F80</f>
        <v>0.21089099946861117</v>
      </c>
      <c r="C61" s="194">
        <f t="shared" ref="C61:C66" si="2">E80</f>
        <v>490983419.9492057</v>
      </c>
      <c r="E61" s="240">
        <f t="shared" ref="E61:E66" si="3">C117</f>
        <v>0.12923985390000001</v>
      </c>
    </row>
    <row r="62" spans="1:5" x14ac:dyDescent="0.45">
      <c r="A62" s="188" t="s">
        <v>33</v>
      </c>
      <c r="B62" s="241">
        <f t="shared" si="1"/>
        <v>0.21652197579085009</v>
      </c>
      <c r="C62" s="189">
        <f t="shared" si="2"/>
        <v>504093111.77726948</v>
      </c>
      <c r="E62" s="241">
        <f t="shared" si="3"/>
        <v>0.15281752949999999</v>
      </c>
    </row>
    <row r="63" spans="1:5" x14ac:dyDescent="0.45">
      <c r="A63" s="188" t="s">
        <v>34</v>
      </c>
      <c r="B63" s="241">
        <f t="shared" si="1"/>
        <v>3.15056726731976E-2</v>
      </c>
      <c r="C63" s="189">
        <f t="shared" si="2"/>
        <v>73349564.257668316</v>
      </c>
      <c r="E63" s="241">
        <f t="shared" si="3"/>
        <v>6.4569631700000005E-2</v>
      </c>
    </row>
    <row r="64" spans="1:5" x14ac:dyDescent="0.45">
      <c r="A64" s="188" t="s">
        <v>35</v>
      </c>
      <c r="B64" s="241">
        <f t="shared" si="1"/>
        <v>7.4837001088430503E-3</v>
      </c>
      <c r="C64" s="189">
        <f t="shared" si="2"/>
        <v>17423089.096132308</v>
      </c>
      <c r="E64" s="241">
        <f t="shared" si="3"/>
        <v>1.1448822899999999E-2</v>
      </c>
    </row>
    <row r="65" spans="1:6" x14ac:dyDescent="0.45">
      <c r="A65" s="188" t="s">
        <v>30</v>
      </c>
      <c r="B65" s="241">
        <f t="shared" si="1"/>
        <v>3.0482940318230692E-2</v>
      </c>
      <c r="C65" s="189">
        <f t="shared" si="2"/>
        <v>70968501.857662499</v>
      </c>
      <c r="E65" s="241">
        <f t="shared" si="3"/>
        <v>6.3446434699999998E-2</v>
      </c>
    </row>
    <row r="66" spans="1:6" x14ac:dyDescent="0.45">
      <c r="A66" s="188" t="s">
        <v>36</v>
      </c>
      <c r="B66" s="241">
        <f t="shared" si="1"/>
        <v>0.44662997171093027</v>
      </c>
      <c r="C66" s="189">
        <f t="shared" si="2"/>
        <v>1039816357.8104155</v>
      </c>
      <c r="E66" s="241">
        <f t="shared" si="3"/>
        <v>0.52799938930000001</v>
      </c>
    </row>
    <row r="67" spans="1:6" x14ac:dyDescent="0.45">
      <c r="A67" s="188" t="s">
        <v>28</v>
      </c>
      <c r="B67" s="241">
        <f>F101</f>
        <v>2.1015155320869561E-2</v>
      </c>
      <c r="C67" s="189">
        <f>E101</f>
        <v>48926188.6766297</v>
      </c>
      <c r="E67" s="241">
        <f>C138</f>
        <v>2.3759667200000004E-2</v>
      </c>
    </row>
    <row r="68" spans="1:6" x14ac:dyDescent="0.45">
      <c r="A68" s="188" t="s">
        <v>29</v>
      </c>
      <c r="B68" s="241">
        <f>F102</f>
        <v>2.1415007379920244E-2</v>
      </c>
      <c r="C68" s="189">
        <f>E102</f>
        <v>49857099.582837701</v>
      </c>
      <c r="E68" s="241">
        <f>C139</f>
        <v>2.6718670800000004E-2</v>
      </c>
    </row>
    <row r="69" spans="1:6" x14ac:dyDescent="0.45">
      <c r="A69" s="188" t="s">
        <v>31</v>
      </c>
      <c r="B69" s="241">
        <f>F108</f>
        <v>1.405457722854739E-2</v>
      </c>
      <c r="C69" s="189">
        <f>E108</f>
        <v>32721000</v>
      </c>
      <c r="E69" s="241">
        <f>I108</f>
        <v>0</v>
      </c>
    </row>
    <row r="70" spans="1:6" ht="14.65" thickBot="1" x14ac:dyDescent="0.5">
      <c r="A70" s="346"/>
      <c r="B70" s="242"/>
      <c r="C70" s="190">
        <f>ROUND(C$39*B70,0)</f>
        <v>0</v>
      </c>
      <c r="E70" s="242"/>
    </row>
    <row r="71" spans="1:6" ht="14.65" thickBot="1" x14ac:dyDescent="0.5">
      <c r="A71" s="198" t="s">
        <v>102</v>
      </c>
      <c r="B71" s="215">
        <f>SUM(B61:B70)</f>
        <v>1</v>
      </c>
      <c r="C71" s="200">
        <f>SUM(C61:C70)</f>
        <v>2328138333.0078211</v>
      </c>
      <c r="E71" s="215">
        <f>SUM(E61:E70)</f>
        <v>1</v>
      </c>
    </row>
    <row r="74" spans="1:6" x14ac:dyDescent="0.45">
      <c r="D74" s="629" t="s">
        <v>308</v>
      </c>
      <c r="E74" s="628">
        <f>IF(E39=0,E11,E39)</f>
        <v>2328138333.0078211</v>
      </c>
    </row>
    <row r="75" spans="1:6" x14ac:dyDescent="0.45">
      <c r="D75" s="629" t="s">
        <v>309</v>
      </c>
      <c r="E75" s="664">
        <v>32721000</v>
      </c>
    </row>
    <row r="76" spans="1:6" x14ac:dyDescent="0.45">
      <c r="D76" s="629" t="s">
        <v>310</v>
      </c>
      <c r="E76" s="628">
        <f>E74-E75</f>
        <v>2295417333.0078211</v>
      </c>
    </row>
    <row r="77" spans="1:6" ht="14.65" thickBot="1" x14ac:dyDescent="0.5"/>
    <row r="78" spans="1:6" ht="14.65" thickBot="1" x14ac:dyDescent="0.5">
      <c r="A78" s="665" t="s">
        <v>37</v>
      </c>
      <c r="B78" s="666" t="s">
        <v>311</v>
      </c>
      <c r="C78" s="667" t="s">
        <v>312</v>
      </c>
      <c r="D78" s="667" t="s">
        <v>313</v>
      </c>
      <c r="E78" s="668" t="s">
        <v>314</v>
      </c>
      <c r="F78" s="669" t="s">
        <v>315</v>
      </c>
    </row>
    <row r="79" spans="1:6" ht="7.5" customHeight="1" thickBot="1" x14ac:dyDescent="0.5">
      <c r="A79" s="481"/>
      <c r="B79" s="670"/>
      <c r="C79" s="670"/>
      <c r="D79" s="670"/>
      <c r="E79" s="670"/>
      <c r="F79" s="671"/>
    </row>
    <row r="80" spans="1:6" x14ac:dyDescent="0.45">
      <c r="A80" s="672" t="s">
        <v>32</v>
      </c>
      <c r="B80" s="628">
        <f>'Monthly Receipts Input'!D35</f>
        <v>455956772.38999999</v>
      </c>
      <c r="C80" s="673">
        <f>B80/B$110</f>
        <v>0.21067117824065593</v>
      </c>
      <c r="D80" s="674">
        <f>C80/C$110</f>
        <v>0.21389723467228552</v>
      </c>
      <c r="E80" s="675">
        <f t="shared" ref="E80:E85" si="4">E$76*D80</f>
        <v>490983419.9492057</v>
      </c>
      <c r="F80" s="673">
        <f t="shared" ref="F80:F85" si="5">E80/E$110</f>
        <v>0.21089099946861117</v>
      </c>
    </row>
    <row r="81" spans="1:6" x14ac:dyDescent="0.45">
      <c r="A81" s="483" t="s">
        <v>33</v>
      </c>
      <c r="B81" s="628">
        <f>'Monthly Receipts Input'!D36</f>
        <v>468131221.72999996</v>
      </c>
      <c r="C81" s="241">
        <f t="shared" ref="C81:D85" si="6">B81/B$110</f>
        <v>0.21629628514156884</v>
      </c>
      <c r="D81" s="674">
        <f t="shared" si="6"/>
        <v>0.21960848013495066</v>
      </c>
      <c r="E81" s="675">
        <f t="shared" si="4"/>
        <v>504093111.77726948</v>
      </c>
      <c r="F81" s="241">
        <f t="shared" si="5"/>
        <v>0.21652197579085009</v>
      </c>
    </row>
    <row r="82" spans="1:6" x14ac:dyDescent="0.45">
      <c r="A82" s="483" t="s">
        <v>34</v>
      </c>
      <c r="B82" s="628">
        <f>'Monthly Receipts Input'!D37</f>
        <v>68116822.719999999</v>
      </c>
      <c r="C82" s="241">
        <f t="shared" si="6"/>
        <v>3.1472832885477739E-2</v>
      </c>
      <c r="D82" s="674">
        <f t="shared" si="6"/>
        <v>3.1954783647797087E-2</v>
      </c>
      <c r="E82" s="675">
        <f t="shared" si="4"/>
        <v>73349564.257668316</v>
      </c>
      <c r="F82" s="241">
        <f t="shared" si="5"/>
        <v>3.15056726731976E-2</v>
      </c>
    </row>
    <row r="83" spans="1:6" x14ac:dyDescent="0.45">
      <c r="A83" s="483" t="s">
        <v>35</v>
      </c>
      <c r="B83" s="628">
        <f>'Monthly Receipts Input'!D38</f>
        <v>16180129.809999999</v>
      </c>
      <c r="C83" s="241">
        <f t="shared" si="6"/>
        <v>7.47589950971023E-3</v>
      </c>
      <c r="D83" s="674">
        <f t="shared" si="6"/>
        <v>7.5903796863386955E-3</v>
      </c>
      <c r="E83" s="675">
        <f t="shared" si="4"/>
        <v>17423089.096132308</v>
      </c>
      <c r="F83" s="241">
        <f t="shared" si="5"/>
        <v>7.4837001088430503E-3</v>
      </c>
    </row>
    <row r="84" spans="1:6" x14ac:dyDescent="0.45">
      <c r="A84" s="483" t="s">
        <v>30</v>
      </c>
      <c r="B84" s="628">
        <f>'Monthly Receipts Input'!D39</f>
        <v>65905624.779999994</v>
      </c>
      <c r="C84" s="241">
        <f t="shared" si="6"/>
        <v>3.0451166570705554E-2</v>
      </c>
      <c r="D84" s="674">
        <f t="shared" si="6"/>
        <v>3.0917472320673069E-2</v>
      </c>
      <c r="E84" s="675">
        <f t="shared" si="4"/>
        <v>70968501.857662499</v>
      </c>
      <c r="F84" s="241">
        <f t="shared" si="5"/>
        <v>3.0482940318230692E-2</v>
      </c>
    </row>
    <row r="85" spans="1:6" x14ac:dyDescent="0.45">
      <c r="A85" s="483" t="s">
        <v>36</v>
      </c>
      <c r="B85" s="628">
        <f>'Monthly Receipts Input'!D40</f>
        <v>965636091.00000012</v>
      </c>
      <c r="C85" s="241">
        <f t="shared" si="6"/>
        <v>0.44616442908905218</v>
      </c>
      <c r="D85" s="674">
        <f t="shared" si="6"/>
        <v>0.45299664808572421</v>
      </c>
      <c r="E85" s="675">
        <f t="shared" si="4"/>
        <v>1039816357.8104155</v>
      </c>
      <c r="F85" s="241">
        <f t="shared" si="5"/>
        <v>0.44662997171093027</v>
      </c>
    </row>
    <row r="86" spans="1:6" ht="6" customHeight="1" x14ac:dyDescent="0.45">
      <c r="A86" s="484"/>
      <c r="B86" s="676"/>
      <c r="C86" s="677"/>
      <c r="D86" s="678"/>
      <c r="E86" s="679"/>
      <c r="F86" s="677"/>
    </row>
    <row r="87" spans="1:6" x14ac:dyDescent="0.45">
      <c r="A87" s="485" t="s">
        <v>48</v>
      </c>
      <c r="B87" s="676">
        <f>'Monthly Receipts Input'!D42</f>
        <v>1257223.3504227174</v>
      </c>
      <c r="C87" s="677"/>
      <c r="D87" s="678"/>
      <c r="E87" s="678">
        <f>E$85*F87</f>
        <v>1353803.3813928333</v>
      </c>
      <c r="F87" s="677">
        <f>B87/B$100</f>
        <v>1.3019639200941148E-3</v>
      </c>
    </row>
    <row r="88" spans="1:6" x14ac:dyDescent="0.45">
      <c r="A88" s="485" t="s">
        <v>49</v>
      </c>
      <c r="B88" s="676">
        <f>'Monthly Receipts Input'!D43</f>
        <v>6669995.6743049826</v>
      </c>
      <c r="C88" s="677"/>
      <c r="D88" s="678"/>
      <c r="E88" s="678">
        <f t="shared" ref="E88:E99" si="7">E$85*F88</f>
        <v>7182385.4486265602</v>
      </c>
      <c r="F88" s="677">
        <f t="shared" ref="F88:F99" si="8">B88/B$100</f>
        <v>6.9073595492869597E-3</v>
      </c>
    </row>
    <row r="89" spans="1:6" x14ac:dyDescent="0.45">
      <c r="A89" s="485" t="s">
        <v>50</v>
      </c>
      <c r="B89" s="676">
        <f>'Monthly Receipts Input'!D44</f>
        <v>7476728.9901543483</v>
      </c>
      <c r="C89" s="677"/>
      <c r="D89" s="678"/>
      <c r="E89" s="678">
        <f t="shared" si="7"/>
        <v>8051092.1032650592</v>
      </c>
      <c r="F89" s="677">
        <f t="shared" si="8"/>
        <v>7.7428019311203931E-3</v>
      </c>
    </row>
    <row r="90" spans="1:6" x14ac:dyDescent="0.45">
      <c r="A90" s="485" t="s">
        <v>51</v>
      </c>
      <c r="B90" s="676">
        <f>'Monthly Receipts Input'!D45</f>
        <v>11633858.590148417</v>
      </c>
      <c r="C90" s="677"/>
      <c r="D90" s="678"/>
      <c r="E90" s="678">
        <f t="shared" si="7"/>
        <v>12527572.839538308</v>
      </c>
      <c r="F90" s="677">
        <f t="shared" si="8"/>
        <v>1.2047870516211284E-2</v>
      </c>
    </row>
    <row r="91" spans="1:6" x14ac:dyDescent="0.45">
      <c r="A91" s="485" t="s">
        <v>52</v>
      </c>
      <c r="B91" s="676">
        <f>'Monthly Receipts Input'!D46</f>
        <v>879025.53043637518</v>
      </c>
      <c r="C91" s="677"/>
      <c r="D91" s="678"/>
      <c r="E91" s="678">
        <f t="shared" si="7"/>
        <v>946552.36480874254</v>
      </c>
      <c r="F91" s="677">
        <f t="shared" si="8"/>
        <v>9.103072457928409E-4</v>
      </c>
    </row>
    <row r="92" spans="1:6" x14ac:dyDescent="0.45">
      <c r="A92" s="485" t="s">
        <v>53</v>
      </c>
      <c r="B92" s="676">
        <f>'Monthly Receipts Input'!D47</f>
        <v>1105757.7394362192</v>
      </c>
      <c r="C92" s="677"/>
      <c r="D92" s="678"/>
      <c r="E92" s="678">
        <f t="shared" si="7"/>
        <v>1190702.166124037</v>
      </c>
      <c r="F92" s="677">
        <f t="shared" si="8"/>
        <v>1.1451081310466667E-3</v>
      </c>
    </row>
    <row r="93" spans="1:6" x14ac:dyDescent="0.45">
      <c r="A93" s="485" t="s">
        <v>54</v>
      </c>
      <c r="B93" s="676">
        <f>'Monthly Receipts Input'!D48</f>
        <v>0</v>
      </c>
      <c r="C93" s="677"/>
      <c r="D93" s="678"/>
      <c r="E93" s="678">
        <f t="shared" si="7"/>
        <v>0</v>
      </c>
      <c r="F93" s="677">
        <f t="shared" si="8"/>
        <v>0</v>
      </c>
    </row>
    <row r="94" spans="1:6" x14ac:dyDescent="0.45">
      <c r="A94" s="485" t="s">
        <v>55</v>
      </c>
      <c r="B94" s="676">
        <f>'Monthly Receipts Input'!D49</f>
        <v>58258888.338749804</v>
      </c>
      <c r="C94" s="677"/>
      <c r="D94" s="678"/>
      <c r="E94" s="678">
        <f t="shared" si="7"/>
        <v>62734342.312897772</v>
      </c>
      <c r="F94" s="677">
        <f t="shared" si="8"/>
        <v>6.0332136383197586E-2</v>
      </c>
    </row>
    <row r="95" spans="1:6" x14ac:dyDescent="0.45">
      <c r="A95" s="485" t="s">
        <v>56</v>
      </c>
      <c r="B95" s="676">
        <f>'Monthly Receipts Input'!D50</f>
        <v>124518404.29564293</v>
      </c>
      <c r="C95" s="677"/>
      <c r="D95" s="678"/>
      <c r="E95" s="678">
        <f t="shared" si="7"/>
        <v>134083921.30515368</v>
      </c>
      <c r="F95" s="677">
        <f t="shared" si="8"/>
        <v>0.12894961720692658</v>
      </c>
    </row>
    <row r="96" spans="1:6" x14ac:dyDescent="0.45">
      <c r="A96" s="485" t="s">
        <v>57</v>
      </c>
      <c r="B96" s="676">
        <f>'Monthly Receipts Input'!D51</f>
        <v>930381.27298559598</v>
      </c>
      <c r="C96" s="677"/>
      <c r="D96" s="678"/>
      <c r="E96" s="678">
        <f t="shared" si="7"/>
        <v>1001853.2609412381</v>
      </c>
      <c r="F96" s="677">
        <f t="shared" si="8"/>
        <v>9.6349057544245812E-4</v>
      </c>
    </row>
    <row r="97" spans="1:6" x14ac:dyDescent="0.45">
      <c r="A97" s="485" t="s">
        <v>58</v>
      </c>
      <c r="B97" s="676">
        <f>'Monthly Receipts Input'!D52</f>
        <v>11738619.817981932</v>
      </c>
      <c r="C97" s="677"/>
      <c r="D97" s="678"/>
      <c r="E97" s="678">
        <f t="shared" si="7"/>
        <v>12640381.835992431</v>
      </c>
      <c r="F97" s="677">
        <f t="shared" si="8"/>
        <v>1.2156359862052765E-2</v>
      </c>
    </row>
    <row r="98" spans="1:6" x14ac:dyDescent="0.45">
      <c r="A98" s="485" t="s">
        <v>59</v>
      </c>
      <c r="B98" s="676">
        <f>'Monthly Receipts Input'!D53</f>
        <v>137341568.95780006</v>
      </c>
      <c r="C98" s="677"/>
      <c r="D98" s="678"/>
      <c r="E98" s="678">
        <f t="shared" si="7"/>
        <v>147892162.83514789</v>
      </c>
      <c r="F98" s="677">
        <f t="shared" si="8"/>
        <v>0.14222911740547201</v>
      </c>
    </row>
    <row r="99" spans="1:6" x14ac:dyDescent="0.45">
      <c r="A99" s="485" t="s">
        <v>60</v>
      </c>
      <c r="B99" s="676">
        <f>'Monthly Receipts Input'!D54</f>
        <v>603825638.44193661</v>
      </c>
      <c r="C99" s="677"/>
      <c r="D99" s="678"/>
      <c r="E99" s="678">
        <f t="shared" si="7"/>
        <v>650211587.95652688</v>
      </c>
      <c r="F99" s="677">
        <f t="shared" si="8"/>
        <v>0.62531386727335625</v>
      </c>
    </row>
    <row r="100" spans="1:6" x14ac:dyDescent="0.45">
      <c r="A100" s="486" t="s">
        <v>80</v>
      </c>
      <c r="B100" s="680">
        <f>'Monthly Receipts Input'!D55</f>
        <v>965636091.00000012</v>
      </c>
      <c r="C100" s="677"/>
      <c r="D100" s="681"/>
      <c r="E100" s="681">
        <f>SUM(E87:E99)</f>
        <v>1039816357.8104154</v>
      </c>
      <c r="F100" s="677">
        <f>SUM(F87:F99)</f>
        <v>0.99999999999999989</v>
      </c>
    </row>
    <row r="101" spans="1:6" x14ac:dyDescent="0.45">
      <c r="A101" s="483" t="s">
        <v>28</v>
      </c>
      <c r="B101" s="628">
        <f>'Monthly Receipts Input'!D56</f>
        <v>45435805.299999997</v>
      </c>
      <c r="C101" s="241">
        <f>B101/B$110</f>
        <v>2.0993250273902437E-2</v>
      </c>
      <c r="D101" s="674">
        <f>C101/C$110</f>
        <v>2.131472476620137E-2</v>
      </c>
      <c r="E101" s="675">
        <f>E$76*D101</f>
        <v>48926188.6766297</v>
      </c>
      <c r="F101" s="241">
        <f>E101/E$110</f>
        <v>2.1015155320869561E-2</v>
      </c>
    </row>
    <row r="102" spans="1:6" x14ac:dyDescent="0.45">
      <c r="A102" s="483" t="s">
        <v>29</v>
      </c>
      <c r="B102" s="628">
        <f>'Monthly Receipts Input'!D57</f>
        <v>46300305.230000004</v>
      </c>
      <c r="C102" s="241">
        <f>B102/B$110</f>
        <v>2.139268554906551E-2</v>
      </c>
      <c r="D102" s="674">
        <f>C102/C$110</f>
        <v>2.1720276686029463E-2</v>
      </c>
      <c r="E102" s="675">
        <f>E$76*D102</f>
        <v>49857099.582837701</v>
      </c>
      <c r="F102" s="241">
        <f>E102/E$110</f>
        <v>2.1415007379920244E-2</v>
      </c>
    </row>
    <row r="103" spans="1:6" x14ac:dyDescent="0.45">
      <c r="A103" s="682"/>
      <c r="B103" s="676"/>
      <c r="C103" s="677"/>
      <c r="D103" s="678"/>
      <c r="E103" s="678"/>
      <c r="F103" s="677"/>
    </row>
    <row r="104" spans="1:6" x14ac:dyDescent="0.45">
      <c r="A104" s="683" t="s">
        <v>29</v>
      </c>
      <c r="B104" s="676">
        <f>'Monthly Receipts Input'!D59</f>
        <v>31256150.296065975</v>
      </c>
      <c r="C104" s="677"/>
      <c r="D104" s="678"/>
      <c r="E104" s="678">
        <f>E$102*F104</f>
        <v>33657251.073096283</v>
      </c>
      <c r="F104" s="677">
        <f>B104/B$107</f>
        <v>0.67507438969999989</v>
      </c>
    </row>
    <row r="105" spans="1:6" x14ac:dyDescent="0.45">
      <c r="A105" s="683" t="s">
        <v>61</v>
      </c>
      <c r="B105" s="676">
        <f>'Monthly Receipts Input'!D60</f>
        <v>14594499.333625736</v>
      </c>
      <c r="C105" s="677"/>
      <c r="D105" s="678"/>
      <c r="E105" s="678">
        <f>E$102*F105</f>
        <v>15715650.318580771</v>
      </c>
      <c r="F105" s="677">
        <f>B105/B$107</f>
        <v>0.31521389029999985</v>
      </c>
    </row>
    <row r="106" spans="1:6" x14ac:dyDescent="0.45">
      <c r="A106" s="683" t="s">
        <v>62</v>
      </c>
      <c r="B106" s="676">
        <f>'Monthly Receipts Input'!D61</f>
        <v>449655.60030829563</v>
      </c>
      <c r="C106" s="677"/>
      <c r="D106" s="678"/>
      <c r="E106" s="678">
        <f>E$102*F106</f>
        <v>484198.19116063637</v>
      </c>
      <c r="F106" s="677">
        <f>B106/B$107</f>
        <v>9.7117199999999966E-3</v>
      </c>
    </row>
    <row r="107" spans="1:6" x14ac:dyDescent="0.45">
      <c r="A107" s="684" t="s">
        <v>81</v>
      </c>
      <c r="B107" s="680">
        <f>'Monthly Receipts Input'!D62</f>
        <v>46300305.230000019</v>
      </c>
      <c r="C107" s="677"/>
      <c r="D107" s="681"/>
      <c r="E107" s="681">
        <f>SUM(E104:E106)</f>
        <v>49857099.582837686</v>
      </c>
      <c r="F107" s="677">
        <f>SUM(F104:F106)</f>
        <v>0.99999999999999967</v>
      </c>
    </row>
    <row r="108" spans="1:6" x14ac:dyDescent="0.45">
      <c r="A108" s="483" t="s">
        <v>31</v>
      </c>
      <c r="B108" s="628">
        <f>'Monthly Receipts Input'!D63</f>
        <v>32642644.600000001</v>
      </c>
      <c r="C108" s="241"/>
      <c r="E108" s="628">
        <f>E75</f>
        <v>32721000</v>
      </c>
      <c r="F108" s="241">
        <f>E108/E$110</f>
        <v>1.405457722854739E-2</v>
      </c>
    </row>
    <row r="109" spans="1:6" ht="14.65" thickBot="1" x14ac:dyDescent="0.5">
      <c r="A109" s="685"/>
      <c r="C109" s="686"/>
      <c r="F109" s="686"/>
    </row>
    <row r="110" spans="1:6" ht="14.65" thickBot="1" x14ac:dyDescent="0.5">
      <c r="A110" s="480" t="s">
        <v>95</v>
      </c>
      <c r="B110" s="687">
        <f>'Monthly Receipts Input'!D65</f>
        <v>2164305417.5599999</v>
      </c>
      <c r="C110" s="688">
        <f>SUM(C80:C85)+C101+C102+C108</f>
        <v>0.98491772726013838</v>
      </c>
      <c r="D110" s="689">
        <f>C110/C$110</f>
        <v>1</v>
      </c>
      <c r="E110" s="687">
        <f>SUM(E80:E85)+E101+E102+E108</f>
        <v>2328138333.0078211</v>
      </c>
      <c r="F110" s="690">
        <f>SUM(F80:F85)+F101+F102+F108</f>
        <v>1</v>
      </c>
    </row>
    <row r="113" spans="1:3" x14ac:dyDescent="0.45">
      <c r="A113" s="627" t="s">
        <v>142</v>
      </c>
    </row>
    <row r="114" spans="1:3" ht="14.65" thickBot="1" x14ac:dyDescent="0.5"/>
    <row r="115" spans="1:3" ht="14.65" thickBot="1" x14ac:dyDescent="0.5">
      <c r="A115" s="691" t="s">
        <v>37</v>
      </c>
      <c r="B115" s="692" t="s">
        <v>311</v>
      </c>
      <c r="C115" s="629" t="s">
        <v>316</v>
      </c>
    </row>
    <row r="116" spans="1:3" ht="14.65" thickBot="1" x14ac:dyDescent="0.5">
      <c r="A116" s="481"/>
      <c r="B116" s="670"/>
    </row>
    <row r="117" spans="1:3" x14ac:dyDescent="0.45">
      <c r="A117" s="672" t="s">
        <v>32</v>
      </c>
      <c r="B117" s="628">
        <f>'County Dist Support Svc Acct'!D25</f>
        <v>2822739.0371567952</v>
      </c>
      <c r="C117" s="673">
        <f t="shared" ref="C117:C122" si="9">B117/B$147</f>
        <v>0.12923985390000001</v>
      </c>
    </row>
    <row r="118" spans="1:3" x14ac:dyDescent="0.45">
      <c r="A118" s="483" t="s">
        <v>33</v>
      </c>
      <c r="B118" s="628">
        <f>'County Dist Support Svc Acct'!D26</f>
        <v>3337701.127511953</v>
      </c>
      <c r="C118" s="673">
        <f t="shared" si="9"/>
        <v>0.15281752949999999</v>
      </c>
    </row>
    <row r="119" spans="1:3" x14ac:dyDescent="0.45">
      <c r="A119" s="483" t="s">
        <v>34</v>
      </c>
      <c r="B119" s="628">
        <f>'County Dist Support Svc Acct'!D27</f>
        <v>1410271.0155913206</v>
      </c>
      <c r="C119" s="673">
        <f t="shared" si="9"/>
        <v>6.4569631700000005E-2</v>
      </c>
    </row>
    <row r="120" spans="1:3" x14ac:dyDescent="0.45">
      <c r="A120" s="483" t="s">
        <v>35</v>
      </c>
      <c r="B120" s="628">
        <f>'County Dist Support Svc Acct'!D28</f>
        <v>250054.74978585273</v>
      </c>
      <c r="C120" s="673">
        <f t="shared" si="9"/>
        <v>1.1448822899999999E-2</v>
      </c>
    </row>
    <row r="121" spans="1:3" x14ac:dyDescent="0.45">
      <c r="A121" s="483" t="s">
        <v>30</v>
      </c>
      <c r="B121" s="628">
        <f>'County Dist Support Svc Acct'!D29</f>
        <v>1385739.1709424509</v>
      </c>
      <c r="C121" s="673">
        <f t="shared" si="9"/>
        <v>6.3446434699999998E-2</v>
      </c>
    </row>
    <row r="122" spans="1:3" x14ac:dyDescent="0.45">
      <c r="A122" s="483" t="s">
        <v>36</v>
      </c>
      <c r="B122" s="628">
        <f>'County Dist Support Svc Acct'!D30</f>
        <v>11532081.18700959</v>
      </c>
      <c r="C122" s="673">
        <f t="shared" si="9"/>
        <v>0.52799938930000001</v>
      </c>
    </row>
    <row r="123" spans="1:3" ht="4.5" customHeight="1" x14ac:dyDescent="0.45">
      <c r="A123" s="484"/>
      <c r="B123" s="676"/>
    </row>
    <row r="124" spans="1:3" x14ac:dyDescent="0.45">
      <c r="A124" s="485" t="s">
        <v>48</v>
      </c>
      <c r="B124" s="676">
        <f>'County Dist Support Svc Acct'!D32</f>
        <v>15098.75554635524</v>
      </c>
      <c r="C124" s="693">
        <f>B124/B$137</f>
        <v>1.3092828000000004E-3</v>
      </c>
    </row>
    <row r="125" spans="1:3" x14ac:dyDescent="0.45">
      <c r="A125" s="485" t="s">
        <v>49</v>
      </c>
      <c r="B125" s="676">
        <f>'County Dist Support Svc Acct'!D33</f>
        <v>80104.005109439895</v>
      </c>
      <c r="C125" s="693">
        <f t="shared" ref="C125:C136" si="10">B125/B$137</f>
        <v>6.9461881000000029E-3</v>
      </c>
    </row>
    <row r="126" spans="1:3" x14ac:dyDescent="0.45">
      <c r="A126" s="485" t="s">
        <v>50</v>
      </c>
      <c r="B126" s="676">
        <f>'County Dist Support Svc Acct'!D34</f>
        <v>89792.537814483017</v>
      </c>
      <c r="C126" s="693">
        <f t="shared" si="10"/>
        <v>7.7863255000000008E-3</v>
      </c>
    </row>
    <row r="127" spans="1:3" x14ac:dyDescent="0.45">
      <c r="A127" s="485" t="s">
        <v>51</v>
      </c>
      <c r="B127" s="676">
        <f>'County Dist Support Svc Acct'!D35</f>
        <v>139718.06783762784</v>
      </c>
      <c r="C127" s="693">
        <f t="shared" si="10"/>
        <v>1.2115598700000004E-2</v>
      </c>
    </row>
    <row r="128" spans="1:3" x14ac:dyDescent="0.45">
      <c r="A128" s="485" t="s">
        <v>52</v>
      </c>
      <c r="B128" s="676">
        <f>'County Dist Support Svc Acct'!D36</f>
        <v>10556.739275704593</v>
      </c>
      <c r="C128" s="693">
        <f t="shared" si="10"/>
        <v>9.1542360000000037E-4</v>
      </c>
    </row>
    <row r="129" spans="1:3" x14ac:dyDescent="0.45">
      <c r="A129" s="485" t="s">
        <v>53</v>
      </c>
      <c r="B129" s="676">
        <f>'County Dist Support Svc Acct'!D37</f>
        <v>13279.710430494955</v>
      </c>
      <c r="C129" s="693">
        <f t="shared" si="10"/>
        <v>1.1515450000000001E-3</v>
      </c>
    </row>
    <row r="130" spans="1:3" x14ac:dyDescent="0.45">
      <c r="A130" s="485" t="s">
        <v>54</v>
      </c>
      <c r="B130" s="676">
        <f>'County Dist Support Svc Acct'!D38</f>
        <v>0</v>
      </c>
      <c r="C130" s="693">
        <f t="shared" si="10"/>
        <v>0</v>
      </c>
    </row>
    <row r="131" spans="1:3" x14ac:dyDescent="0.45">
      <c r="A131" s="485" t="s">
        <v>55</v>
      </c>
      <c r="B131" s="676">
        <f>'County Dist Support Svc Acct'!D39</f>
        <v>699666.25353268418</v>
      </c>
      <c r="C131" s="693">
        <f t="shared" si="10"/>
        <v>6.0671291000000016E-2</v>
      </c>
    </row>
    <row r="132" spans="1:3" x14ac:dyDescent="0.45">
      <c r="A132" s="485" t="s">
        <v>56</v>
      </c>
      <c r="B132" s="676">
        <f>'County Dist Support Svc Acct'!D40</f>
        <v>1495416.883795829</v>
      </c>
      <c r="C132" s="693">
        <f t="shared" si="10"/>
        <v>0.12967450190000002</v>
      </c>
    </row>
    <row r="133" spans="1:3" x14ac:dyDescent="0.45">
      <c r="A133" s="485" t="s">
        <v>57</v>
      </c>
      <c r="B133" s="676">
        <f>'County Dist Support Svc Acct'!D41</f>
        <v>11173.525718743087</v>
      </c>
      <c r="C133" s="693">
        <f t="shared" si="10"/>
        <v>9.6890800000000031E-4</v>
      </c>
    </row>
    <row r="134" spans="1:3" x14ac:dyDescent="0.45">
      <c r="A134" s="485" t="s">
        <v>58</v>
      </c>
      <c r="B134" s="676">
        <f>'County Dist Support Svc Acct'!D42</f>
        <v>140976.19944380067</v>
      </c>
      <c r="C134" s="693">
        <f t="shared" si="10"/>
        <v>1.2224697100000003E-2</v>
      </c>
    </row>
    <row r="135" spans="1:3" x14ac:dyDescent="0.45">
      <c r="A135" s="485" t="s">
        <v>59</v>
      </c>
      <c r="B135" s="676">
        <f>'County Dist Support Svc Acct'!D43</f>
        <v>1649418.0430774551</v>
      </c>
      <c r="C135" s="693">
        <f t="shared" si="10"/>
        <v>0.14302865340000004</v>
      </c>
    </row>
    <row r="136" spans="1:3" x14ac:dyDescent="0.45">
      <c r="A136" s="485" t="s">
        <v>60</v>
      </c>
      <c r="B136" s="676">
        <f>'County Dist Support Svc Acct'!D44</f>
        <v>7186880.4654269703</v>
      </c>
      <c r="C136" s="693">
        <f t="shared" si="10"/>
        <v>0.62320758490000006</v>
      </c>
    </row>
    <row r="137" spans="1:3" x14ac:dyDescent="0.45">
      <c r="A137" s="486" t="s">
        <v>80</v>
      </c>
      <c r="B137" s="680">
        <f>'County Dist Support Svc Acct'!D45</f>
        <v>11532081.187009586</v>
      </c>
      <c r="C137" s="694">
        <f>SUM(C124:C136)</f>
        <v>1</v>
      </c>
    </row>
    <row r="138" spans="1:3" x14ac:dyDescent="0.45">
      <c r="A138" s="483" t="s">
        <v>28</v>
      </c>
      <c r="B138" s="628">
        <f>'County Dist Support Svc Acct'!D46</f>
        <v>518936.98492716957</v>
      </c>
      <c r="C138" s="673">
        <f>B138/B$147</f>
        <v>2.3759667200000004E-2</v>
      </c>
    </row>
    <row r="139" spans="1:3" x14ac:dyDescent="0.45">
      <c r="A139" s="483" t="s">
        <v>29</v>
      </c>
      <c r="B139" s="628">
        <f>'County Dist Support Svc Acct'!D47</f>
        <v>583564.8432909702</v>
      </c>
      <c r="C139" s="673">
        <f>B139/B$147</f>
        <v>2.6718670800000004E-2</v>
      </c>
    </row>
    <row r="140" spans="1:3" ht="5.25" customHeight="1" x14ac:dyDescent="0.45">
      <c r="A140" s="682"/>
      <c r="B140" s="676"/>
    </row>
    <row r="141" spans="1:3" x14ac:dyDescent="0.45">
      <c r="A141" s="683" t="s">
        <v>29</v>
      </c>
      <c r="B141" s="676">
        <f>'County Dist Support Svc Acct'!D49</f>
        <v>393949.67952142219</v>
      </c>
      <c r="C141" s="693">
        <f>B141/B$144</f>
        <v>0.67507438813444021</v>
      </c>
    </row>
    <row r="142" spans="1:3" x14ac:dyDescent="0.45">
      <c r="A142" s="683" t="s">
        <v>61</v>
      </c>
      <c r="B142" s="676">
        <f>'County Dist Support Svc Acct'!D50</f>
        <v>183947.74230789003</v>
      </c>
      <c r="C142" s="693">
        <f>B142/B$144</f>
        <v>0.31521388655034549</v>
      </c>
    </row>
    <row r="143" spans="1:3" x14ac:dyDescent="0.45">
      <c r="A143" s="683" t="s">
        <v>62</v>
      </c>
      <c r="B143" s="676">
        <f>'County Dist Support Svc Acct'!D51</f>
        <v>5667.4214616580102</v>
      </c>
      <c r="C143" s="693">
        <f>B143/B$144</f>
        <v>9.7117253152143503E-3</v>
      </c>
    </row>
    <row r="144" spans="1:3" x14ac:dyDescent="0.45">
      <c r="A144" s="684" t="s">
        <v>81</v>
      </c>
      <c r="B144" s="680">
        <f>SUM(B141:B143)</f>
        <v>583564.8432909702</v>
      </c>
      <c r="C144" s="694">
        <f>SUM(C141:C143)</f>
        <v>1</v>
      </c>
    </row>
    <row r="145" spans="1:3" x14ac:dyDescent="0.45">
      <c r="A145" s="483" t="s">
        <v>31</v>
      </c>
      <c r="B145" s="628">
        <f>'County Dist Support Svc Acct'!D53</f>
        <v>0</v>
      </c>
    </row>
    <row r="146" spans="1:3" ht="14.65" thickBot="1" x14ac:dyDescent="0.5">
      <c r="A146" s="685"/>
    </row>
    <row r="147" spans="1:3" ht="14.65" thickBot="1" x14ac:dyDescent="0.5">
      <c r="A147" s="480" t="s">
        <v>95</v>
      </c>
      <c r="B147" s="687">
        <f>SUM(B117:B122)+B138+B139+B145</f>
        <v>21841088.116216101</v>
      </c>
      <c r="C147" s="688">
        <f>SUM(C117:C122)+C138+C139+C145</f>
        <v>1</v>
      </c>
    </row>
  </sheetData>
  <hyperlinks>
    <hyperlink ref="A11" display="PROTECTIVE SERVICES"/>
    <hyperlink ref="A12" display="BEHAVIORAL HEALTH"/>
    <hyperlink ref="A17" display="TRIAL COURT SECURITY"/>
    <hyperlink ref="A18" display="COMMUNITY CORRECTIONS"/>
    <hyperlink ref="A19" display="DA &amp; PUBLIC DEFENDER"/>
    <hyperlink ref="A20" display="JUVENILE JUSTICE"/>
    <hyperlink ref="A39" display="PROTECTIVE SERVICES"/>
    <hyperlink ref="A40" display="BEHAVIORAL HEALTH"/>
    <hyperlink ref="A45" display="TRIAL COURT SECURITY"/>
    <hyperlink ref="A46" display="COMMUNITY CORRECTIONS"/>
    <hyperlink ref="A47" display="DA &amp; PUBLIC DEFENDER"/>
    <hyperlink ref="A48" display="JUVENILE JUSTIC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workbookViewId="0">
      <selection activeCell="K21" sqref="K21"/>
    </sheetView>
  </sheetViews>
  <sheetFormatPr defaultRowHeight="14.25" outlineLevelRow="2" x14ac:dyDescent="0.45"/>
  <cols>
    <col min="1" max="1" width="30.1328125" customWidth="1"/>
    <col min="2" max="3" width="16.1328125" customWidth="1"/>
    <col min="4" max="4" width="17.3984375" bestFit="1" customWidth="1"/>
    <col min="5" max="5" width="13.73046875" bestFit="1" customWidth="1"/>
    <col min="6" max="7" width="12.73046875" customWidth="1"/>
    <col min="8" max="8" width="13.73046875" bestFit="1" customWidth="1"/>
    <col min="9" max="16" width="12.73046875" customWidth="1"/>
    <col min="18" max="18" width="9.86328125" customWidth="1"/>
    <col min="19" max="19" width="12.59765625" customWidth="1"/>
  </cols>
  <sheetData>
    <row r="1" spans="1:19" ht="16.149999999999999" thickBot="1" x14ac:dyDescent="0.5">
      <c r="A1" s="23" t="s">
        <v>19</v>
      </c>
      <c r="D1" s="237" t="s">
        <v>18</v>
      </c>
      <c r="G1" s="24" t="s">
        <v>94</v>
      </c>
      <c r="Q1" s="354" t="s">
        <v>161</v>
      </c>
      <c r="R1" s="354"/>
      <c r="S1" s="413">
        <v>302657408.25999999</v>
      </c>
    </row>
    <row r="2" spans="1:19" ht="14.65" thickBot="1" x14ac:dyDescent="0.5">
      <c r="R2" s="428">
        <v>0.65</v>
      </c>
    </row>
    <row r="3" spans="1:19" s="29" customFormat="1" ht="28.9" thickBot="1" x14ac:dyDescent="0.5">
      <c r="A3" s="231" t="s">
        <v>21</v>
      </c>
      <c r="B3" s="232" t="s">
        <v>42</v>
      </c>
      <c r="C3" s="232" t="s">
        <v>22</v>
      </c>
      <c r="D3" s="233" t="s">
        <v>349</v>
      </c>
      <c r="E3" s="234" t="s">
        <v>7</v>
      </c>
      <c r="F3" s="234" t="s">
        <v>8</v>
      </c>
      <c r="G3" s="234" t="s">
        <v>9</v>
      </c>
      <c r="H3" s="234" t="s">
        <v>10</v>
      </c>
      <c r="I3" s="234" t="s">
        <v>11</v>
      </c>
      <c r="J3" s="234" t="s">
        <v>12</v>
      </c>
      <c r="K3" s="234" t="s">
        <v>13</v>
      </c>
      <c r="L3" s="234" t="s">
        <v>14</v>
      </c>
      <c r="M3" s="234" t="s">
        <v>15</v>
      </c>
      <c r="N3" s="234" t="s">
        <v>16</v>
      </c>
      <c r="O3" s="234" t="s">
        <v>17</v>
      </c>
      <c r="P3" s="235" t="s">
        <v>18</v>
      </c>
      <c r="R3" s="412" t="s">
        <v>175</v>
      </c>
      <c r="S3" s="412" t="s">
        <v>173</v>
      </c>
    </row>
    <row r="4" spans="1:19" ht="5.25" customHeight="1" thickBot="1" x14ac:dyDescent="0.5">
      <c r="A4" s="30"/>
      <c r="B4" s="31"/>
      <c r="C4" s="44"/>
      <c r="D4" s="30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R4" s="382"/>
      <c r="S4" s="382"/>
    </row>
    <row r="5" spans="1:19" x14ac:dyDescent="0.45">
      <c r="A5" s="718" t="s">
        <v>83</v>
      </c>
      <c r="B5" s="8">
        <v>0.63717778158200755</v>
      </c>
      <c r="C5" s="34">
        <v>2169500617</v>
      </c>
      <c r="D5" s="35">
        <v>2258027908.9360504</v>
      </c>
      <c r="E5" s="148">
        <v>172449134.19</v>
      </c>
      <c r="F5" s="148">
        <v>166272749.63999999</v>
      </c>
      <c r="G5" s="148">
        <v>220546116.03</v>
      </c>
      <c r="H5" s="148">
        <v>165851767.59</v>
      </c>
      <c r="I5" s="148">
        <v>163538683.63</v>
      </c>
      <c r="J5" s="148">
        <v>271433958.31999999</v>
      </c>
      <c r="K5" s="148">
        <v>152753302.34999999</v>
      </c>
      <c r="L5" s="148">
        <v>149039315.63</v>
      </c>
      <c r="M5" s="148">
        <v>229551877.77000001</v>
      </c>
      <c r="N5" s="148">
        <v>174182579.65000001</v>
      </c>
      <c r="O5" s="148">
        <v>236336919.15000001</v>
      </c>
      <c r="P5" s="149">
        <v>67544213.069999993</v>
      </c>
      <c r="R5" s="430">
        <v>0.45</v>
      </c>
      <c r="S5" s="414">
        <v>88527291.916050002</v>
      </c>
    </row>
    <row r="6" spans="1:19" x14ac:dyDescent="0.45">
      <c r="A6" s="719" t="s">
        <v>84</v>
      </c>
      <c r="B6" s="8">
        <v>0.36132318432152299</v>
      </c>
      <c r="C6" s="34">
        <v>1230254560</v>
      </c>
      <c r="D6" s="36">
        <v>1328618217.9045</v>
      </c>
      <c r="E6" s="148">
        <v>97770680.599999994</v>
      </c>
      <c r="F6" s="148">
        <v>94253722.709999993</v>
      </c>
      <c r="G6" s="148">
        <v>125158071.79000001</v>
      </c>
      <c r="H6" s="148">
        <v>94014007.040000007</v>
      </c>
      <c r="I6" s="148">
        <v>92696890.400000006</v>
      </c>
      <c r="J6" s="148">
        <v>154134635.19</v>
      </c>
      <c r="K6" s="148">
        <v>86555476.849999994</v>
      </c>
      <c r="L6" s="148">
        <v>84440657.930000007</v>
      </c>
      <c r="M6" s="148">
        <v>130286134.09999999</v>
      </c>
      <c r="N6" s="148">
        <v>98757739.390000001</v>
      </c>
      <c r="O6" s="148">
        <v>134149673.45999999</v>
      </c>
      <c r="P6" s="149">
        <v>38036870.759999998</v>
      </c>
      <c r="R6" s="430">
        <v>0.5</v>
      </c>
      <c r="S6" s="415">
        <v>98363657.684499994</v>
      </c>
    </row>
    <row r="7" spans="1:19" ht="14.65" thickBot="1" x14ac:dyDescent="0.5">
      <c r="A7" s="720" t="s">
        <v>88</v>
      </c>
      <c r="B7" s="8">
        <v>1.4990340964694763E-3</v>
      </c>
      <c r="C7" s="34">
        <v>5104000</v>
      </c>
      <c r="D7" s="49">
        <v>5104000</v>
      </c>
      <c r="E7" s="148">
        <v>425333.33</v>
      </c>
      <c r="F7" s="148">
        <v>425333.33</v>
      </c>
      <c r="G7" s="148">
        <v>425333.33</v>
      </c>
      <c r="H7" s="148">
        <v>425333.33</v>
      </c>
      <c r="I7" s="148">
        <v>425333.33</v>
      </c>
      <c r="J7" s="148">
        <v>425333.33</v>
      </c>
      <c r="K7" s="148">
        <v>425333.33</v>
      </c>
      <c r="L7" s="148">
        <v>425333.33</v>
      </c>
      <c r="M7" s="148">
        <v>425333.33</v>
      </c>
      <c r="N7" s="148">
        <v>425333.33</v>
      </c>
      <c r="O7" s="148">
        <v>425333.33</v>
      </c>
      <c r="P7" s="149">
        <v>425333.37</v>
      </c>
      <c r="R7" s="431">
        <v>0</v>
      </c>
      <c r="S7" s="416">
        <v>0</v>
      </c>
    </row>
    <row r="8" spans="1:19" ht="14.65" thickBot="1" x14ac:dyDescent="0.5">
      <c r="A8" s="50" t="s">
        <v>24</v>
      </c>
      <c r="B8" s="51">
        <v>1</v>
      </c>
      <c r="C8" s="52">
        <v>3404859177</v>
      </c>
      <c r="D8" s="103">
        <v>3591750126.8405495</v>
      </c>
      <c r="E8" s="53">
        <v>270645148.11999995</v>
      </c>
      <c r="F8" s="53">
        <v>260951805.67999998</v>
      </c>
      <c r="G8" s="53">
        <v>346129521.14999998</v>
      </c>
      <c r="H8" s="53">
        <v>260291107.96000001</v>
      </c>
      <c r="I8" s="53">
        <v>256660907.36000001</v>
      </c>
      <c r="J8" s="53">
        <v>425993926.83999997</v>
      </c>
      <c r="K8" s="53">
        <v>239734112.53</v>
      </c>
      <c r="L8" s="53">
        <v>233905306.89000002</v>
      </c>
      <c r="M8" s="53">
        <v>360263345.19999999</v>
      </c>
      <c r="N8" s="53">
        <v>273365652.37</v>
      </c>
      <c r="O8" s="53">
        <v>370911925.94</v>
      </c>
      <c r="P8" s="54">
        <v>106006417.19999999</v>
      </c>
      <c r="R8" s="429"/>
      <c r="S8" s="417">
        <v>186890949.60055</v>
      </c>
    </row>
    <row r="9" spans="1:19" x14ac:dyDescent="0.45">
      <c r="A9" s="106"/>
      <c r="B9" s="107"/>
      <c r="C9" s="108"/>
      <c r="D9" s="121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</row>
    <row r="10" spans="1:19" x14ac:dyDescent="0.45">
      <c r="A10" s="106"/>
      <c r="B10" s="107"/>
      <c r="C10" s="108"/>
      <c r="D10" s="121"/>
      <c r="E10" s="110"/>
      <c r="F10" s="110"/>
      <c r="G10" s="24" t="s">
        <v>350</v>
      </c>
      <c r="H10" s="110"/>
      <c r="I10" s="110"/>
      <c r="J10" s="110"/>
      <c r="K10" s="110"/>
      <c r="L10" s="110"/>
      <c r="M10" s="110"/>
      <c r="N10" s="110"/>
      <c r="O10" s="110"/>
      <c r="P10" s="110"/>
    </row>
    <row r="11" spans="1:19" ht="14.65" thickBot="1" x14ac:dyDescent="0.5">
      <c r="A11" s="106"/>
      <c r="B11" s="107"/>
      <c r="C11" s="108"/>
      <c r="D11" s="127"/>
      <c r="E11" s="619" t="s">
        <v>285</v>
      </c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</row>
    <row r="12" spans="1:19" s="29" customFormat="1" ht="28.9" thickBot="1" x14ac:dyDescent="0.5">
      <c r="A12" s="699" t="s">
        <v>21</v>
      </c>
      <c r="B12" s="703" t="s">
        <v>351</v>
      </c>
      <c r="C12" s="26" t="s">
        <v>352</v>
      </c>
      <c r="D12" s="58" t="s">
        <v>349</v>
      </c>
      <c r="E12" s="27" t="s">
        <v>7</v>
      </c>
      <c r="F12" s="27" t="s">
        <v>8</v>
      </c>
      <c r="G12" s="27" t="s">
        <v>9</v>
      </c>
      <c r="H12" s="27" t="s">
        <v>10</v>
      </c>
      <c r="I12" s="27" t="s">
        <v>11</v>
      </c>
      <c r="J12" s="27" t="s">
        <v>12</v>
      </c>
      <c r="K12" s="27" t="s">
        <v>13</v>
      </c>
      <c r="L12" s="27" t="s">
        <v>14</v>
      </c>
      <c r="M12" s="27" t="s">
        <v>15</v>
      </c>
      <c r="N12" s="27" t="s">
        <v>16</v>
      </c>
      <c r="O12" s="27" t="s">
        <v>17</v>
      </c>
      <c r="P12" s="28" t="s">
        <v>18</v>
      </c>
      <c r="R12" s="412" t="s">
        <v>175</v>
      </c>
      <c r="S12" s="412" t="s">
        <v>173</v>
      </c>
    </row>
    <row r="13" spans="1:19" ht="5.25" customHeight="1" thickBot="1" x14ac:dyDescent="0.5">
      <c r="A13" s="700"/>
      <c r="B13" s="700"/>
      <c r="C13" s="112"/>
      <c r="D13" s="111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4"/>
      <c r="R13" s="382"/>
      <c r="S13" s="382"/>
    </row>
    <row r="14" spans="1:19" x14ac:dyDescent="0.45">
      <c r="A14" s="701" t="s">
        <v>83</v>
      </c>
      <c r="B14" s="704">
        <v>1.0078734299999999E-2</v>
      </c>
      <c r="C14" s="134">
        <v>21865820.282429062</v>
      </c>
      <c r="D14" s="35">
        <v>22786881.694490593</v>
      </c>
      <c r="E14" s="721">
        <v>1736486.46</v>
      </c>
      <c r="F14" s="721">
        <v>1674293</v>
      </c>
      <c r="G14" s="721">
        <v>2220801.77</v>
      </c>
      <c r="H14" s="721">
        <v>1670053.89</v>
      </c>
      <c r="I14" s="721">
        <v>1646762.16</v>
      </c>
      <c r="J14" s="721">
        <v>2733219.82</v>
      </c>
      <c r="K14" s="721">
        <v>1544882.98</v>
      </c>
      <c r="L14" s="721">
        <v>1507450.69</v>
      </c>
      <c r="M14" s="143">
        <v>2313592.3841099064</v>
      </c>
      <c r="N14" s="143">
        <v>1755539.9399809369</v>
      </c>
      <c r="O14" s="143">
        <v>2381977.0133934319</v>
      </c>
      <c r="P14" s="143">
        <v>680760.17703511717</v>
      </c>
      <c r="R14" s="430"/>
      <c r="S14" s="144">
        <v>921061.40997120424</v>
      </c>
    </row>
    <row r="15" spans="1:19" x14ac:dyDescent="0.45">
      <c r="A15" s="722" t="s">
        <v>84</v>
      </c>
      <c r="B15" s="704">
        <v>1.0260501999999999E-2</v>
      </c>
      <c r="C15" s="34">
        <v>12623029.373389119</v>
      </c>
      <c r="D15" s="36">
        <v>13413775.937667407</v>
      </c>
      <c r="E15" s="620">
        <v>1003176.2638376611</v>
      </c>
      <c r="F15" s="620">
        <v>967090.51037340029</v>
      </c>
      <c r="G15" s="620">
        <v>1284184.6459174387</v>
      </c>
      <c r="H15" s="620">
        <v>964630.90726193413</v>
      </c>
      <c r="I15" s="620">
        <v>951116.6293429808</v>
      </c>
      <c r="J15" s="620">
        <v>1581498.7326362652</v>
      </c>
      <c r="K15" s="620">
        <v>888102.64333037857</v>
      </c>
      <c r="L15" s="620">
        <v>866403.53957208095</v>
      </c>
      <c r="M15" s="620">
        <v>1336801.1395053181</v>
      </c>
      <c r="N15" s="620">
        <v>1013303.9825265737</v>
      </c>
      <c r="O15" s="620">
        <v>1376442.9928356768</v>
      </c>
      <c r="P15" s="705">
        <v>390277.38850672147</v>
      </c>
      <c r="R15" s="430">
        <v>8.0390113649218432E-3</v>
      </c>
      <c r="S15" s="145">
        <v>790746.56202097726</v>
      </c>
    </row>
    <row r="16" spans="1:19" ht="14.65" thickBot="1" x14ac:dyDescent="0.5">
      <c r="A16" s="723" t="s">
        <v>88</v>
      </c>
      <c r="B16" s="704">
        <v>0</v>
      </c>
      <c r="C16" s="135">
        <v>0</v>
      </c>
      <c r="D16" s="49">
        <v>0</v>
      </c>
      <c r="E16" s="146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7">
        <v>0</v>
      </c>
      <c r="R16" s="431"/>
      <c r="S16" s="147">
        <v>0</v>
      </c>
    </row>
    <row r="17" spans="1:19" ht="14.65" thickBot="1" x14ac:dyDescent="0.5">
      <c r="A17" s="702" t="s">
        <v>109</v>
      </c>
      <c r="B17" s="706"/>
      <c r="C17" s="52">
        <v>34488849.655818179</v>
      </c>
      <c r="D17" s="103">
        <v>36200657.632158004</v>
      </c>
      <c r="E17" s="53">
        <v>2739662.7238376611</v>
      </c>
      <c r="F17" s="53">
        <v>2641383.5103734005</v>
      </c>
      <c r="G17" s="53">
        <v>3504986.4159174385</v>
      </c>
      <c r="H17" s="53">
        <v>2634684.7972619338</v>
      </c>
      <c r="I17" s="53">
        <v>2597878.7893429808</v>
      </c>
      <c r="J17" s="53">
        <v>4314718.5526362648</v>
      </c>
      <c r="K17" s="53">
        <v>2432985.6233303784</v>
      </c>
      <c r="L17" s="53">
        <v>2373854.229572081</v>
      </c>
      <c r="M17" s="53">
        <v>3650393.5236152243</v>
      </c>
      <c r="N17" s="53">
        <v>2768843.9225075105</v>
      </c>
      <c r="O17" s="53">
        <v>3758420.0062291087</v>
      </c>
      <c r="P17" s="54">
        <v>1071037.5655418388</v>
      </c>
      <c r="R17" s="429"/>
      <c r="S17" s="417">
        <v>1711807.9719921816</v>
      </c>
    </row>
    <row r="18" spans="1:19" x14ac:dyDescent="0.45">
      <c r="A18" s="106"/>
      <c r="B18" s="107"/>
      <c r="C18" s="108"/>
      <c r="D18" s="109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</row>
    <row r="19" spans="1:19" x14ac:dyDescent="0.45">
      <c r="C19" s="60"/>
      <c r="R19" s="567" t="s">
        <v>279</v>
      </c>
      <c r="S19" s="568">
        <v>815315.55977748253</v>
      </c>
    </row>
    <row r="20" spans="1:19" x14ac:dyDescent="0.45">
      <c r="R20" s="567" t="s">
        <v>280</v>
      </c>
      <c r="S20" s="568">
        <v>105745.85019372172</v>
      </c>
    </row>
    <row r="21" spans="1:19" x14ac:dyDescent="0.45">
      <c r="A21" t="s">
        <v>40</v>
      </c>
      <c r="C21" s="39">
        <v>21865820.282429062</v>
      </c>
      <c r="D21" s="39"/>
      <c r="G21" s="24" t="s">
        <v>353</v>
      </c>
      <c r="R21" s="567">
        <v>0</v>
      </c>
      <c r="S21" s="568">
        <v>0</v>
      </c>
    </row>
    <row r="22" spans="1:19" ht="14.65" thickBot="1" x14ac:dyDescent="0.5"/>
    <row r="23" spans="1:19" ht="57.4" thickBot="1" x14ac:dyDescent="0.5">
      <c r="A23" s="316" t="s">
        <v>37</v>
      </c>
      <c r="B23" s="315" t="s">
        <v>354</v>
      </c>
      <c r="C23" s="315" t="s">
        <v>355</v>
      </c>
      <c r="D23" s="57" t="s">
        <v>349</v>
      </c>
      <c r="E23" s="27" t="s">
        <v>7</v>
      </c>
      <c r="F23" s="27" t="s">
        <v>8</v>
      </c>
      <c r="G23" s="27" t="s">
        <v>9</v>
      </c>
      <c r="H23" s="27" t="s">
        <v>10</v>
      </c>
      <c r="I23" s="27" t="s">
        <v>11</v>
      </c>
      <c r="J23" s="27" t="s">
        <v>12</v>
      </c>
      <c r="K23" s="27" t="s">
        <v>13</v>
      </c>
      <c r="L23" s="27" t="s">
        <v>14</v>
      </c>
      <c r="M23" s="27" t="s">
        <v>15</v>
      </c>
      <c r="N23" s="27" t="s">
        <v>16</v>
      </c>
      <c r="O23" s="27" t="s">
        <v>17</v>
      </c>
      <c r="P23" s="28" t="s">
        <v>18</v>
      </c>
      <c r="R23" s="412" t="s">
        <v>281</v>
      </c>
      <c r="S23" s="386" t="s">
        <v>172</v>
      </c>
    </row>
    <row r="24" spans="1:19" ht="6" customHeight="1" thickBot="1" x14ac:dyDescent="0.5">
      <c r="A24" s="40"/>
      <c r="B24" s="41"/>
      <c r="C24" s="41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  <c r="R24" s="589"/>
      <c r="S24" s="387"/>
    </row>
    <row r="25" spans="1:19" x14ac:dyDescent="0.45">
      <c r="A25" s="193" t="s">
        <v>32</v>
      </c>
      <c r="B25" s="252">
        <v>0.12984240599999999</v>
      </c>
      <c r="C25" s="253">
        <v>2839110.7146341889</v>
      </c>
      <c r="D25" s="254">
        <v>2944973.2488363469</v>
      </c>
      <c r="E25" s="255">
        <v>225469.57995282274</v>
      </c>
      <c r="F25" s="255">
        <v>217394.23146895799</v>
      </c>
      <c r="G25" s="255">
        <v>288354.24506585859</v>
      </c>
      <c r="H25" s="255">
        <v>216843.81522725933</v>
      </c>
      <c r="I25" s="255">
        <v>213819.56096415693</v>
      </c>
      <c r="J25" s="255">
        <v>354887.83755568689</v>
      </c>
      <c r="K25" s="255">
        <v>200591.32311164986</v>
      </c>
      <c r="L25" s="255">
        <v>195731.02451596013</v>
      </c>
      <c r="M25" s="255">
        <v>300402.40165610641</v>
      </c>
      <c r="N25" s="255">
        <v>227943.52963622042</v>
      </c>
      <c r="O25" s="724">
        <v>309281.62645569741</v>
      </c>
      <c r="P25" s="725">
        <v>88391.53929522555</v>
      </c>
      <c r="R25" s="591">
        <v>0.12984240600000002</v>
      </c>
      <c r="S25" s="256">
        <v>105862.53393074518</v>
      </c>
    </row>
    <row r="26" spans="1:19" x14ac:dyDescent="0.45">
      <c r="A26" s="188" t="s">
        <v>33</v>
      </c>
      <c r="B26" s="257">
        <v>0.1535300077</v>
      </c>
      <c r="C26" s="258">
        <v>3357059.55632815</v>
      </c>
      <c r="D26" s="259">
        <v>3482234.9608196449</v>
      </c>
      <c r="E26" s="260">
        <v>266602.77957474574</v>
      </c>
      <c r="F26" s="260">
        <v>257054.21718205611</v>
      </c>
      <c r="G26" s="260">
        <v>340959.71284827363</v>
      </c>
      <c r="H26" s="260">
        <v>256403.38659111495</v>
      </c>
      <c r="I26" s="260">
        <v>252827.40710486862</v>
      </c>
      <c r="J26" s="260">
        <v>419631.26001039258</v>
      </c>
      <c r="K26" s="260">
        <v>237185.89581499895</v>
      </c>
      <c r="L26" s="260">
        <v>231438.91604307029</v>
      </c>
      <c r="M26" s="260">
        <v>355205.8565470553</v>
      </c>
      <c r="N26" s="260">
        <v>269528.06050293078</v>
      </c>
      <c r="O26" s="726">
        <v>365704.94920751662</v>
      </c>
      <c r="P26" s="727">
        <v>104517.1152220549</v>
      </c>
      <c r="R26" s="592">
        <v>0.15353000770000003</v>
      </c>
      <c r="S26" s="261">
        <v>125175.40417056672</v>
      </c>
    </row>
    <row r="27" spans="1:19" x14ac:dyDescent="0.45">
      <c r="A27" s="188" t="s">
        <v>34</v>
      </c>
      <c r="B27" s="257">
        <v>6.4870673300000001E-2</v>
      </c>
      <c r="C27" s="258">
        <v>1418450.4839779695</v>
      </c>
      <c r="D27" s="259">
        <v>1471340.5534283025</v>
      </c>
      <c r="E27" s="260">
        <v>112647.04583653352</v>
      </c>
      <c r="F27" s="260">
        <v>108612.5142114769</v>
      </c>
      <c r="G27" s="260">
        <v>144064.90608573175</v>
      </c>
      <c r="H27" s="260">
        <v>108337.52029158414</v>
      </c>
      <c r="I27" s="260">
        <v>106826.57008416232</v>
      </c>
      <c r="J27" s="260">
        <v>177305.8100003048</v>
      </c>
      <c r="K27" s="260">
        <v>100217.59908231044</v>
      </c>
      <c r="L27" s="260">
        <v>97789.341226849574</v>
      </c>
      <c r="M27" s="260">
        <v>150084.29569896185</v>
      </c>
      <c r="N27" s="260">
        <v>113883.05791160496</v>
      </c>
      <c r="O27" s="726">
        <v>154520.45264395504</v>
      </c>
      <c r="P27" s="727">
        <v>44161.371040095248</v>
      </c>
      <c r="R27" s="592">
        <v>6.4870673300000015E-2</v>
      </c>
      <c r="S27" s="261">
        <v>52890.0693147317</v>
      </c>
    </row>
    <row r="28" spans="1:19" x14ac:dyDescent="0.45">
      <c r="A28" s="188" t="s">
        <v>35</v>
      </c>
      <c r="B28" s="257">
        <v>1.15022006E-2</v>
      </c>
      <c r="C28" s="258">
        <v>251505.05117204774</v>
      </c>
      <c r="D28" s="259">
        <v>260882.97431695301</v>
      </c>
      <c r="E28" s="260">
        <v>19973.415602103876</v>
      </c>
      <c r="F28" s="260">
        <v>19258.053949175799</v>
      </c>
      <c r="G28" s="260">
        <v>25544.107451375061</v>
      </c>
      <c r="H28" s="260">
        <v>19209.294855590331</v>
      </c>
      <c r="I28" s="260">
        <v>18941.388704809295</v>
      </c>
      <c r="J28" s="260">
        <v>31438.042653535889</v>
      </c>
      <c r="K28" s="260">
        <v>17769.553939485788</v>
      </c>
      <c r="L28" s="260">
        <v>17339.000230988415</v>
      </c>
      <c r="M28" s="260">
        <v>26611.403708664395</v>
      </c>
      <c r="N28" s="260">
        <v>20192.572550972698</v>
      </c>
      <c r="O28" s="726">
        <v>27397.977432640142</v>
      </c>
      <c r="P28" s="727">
        <v>7830.2401167494309</v>
      </c>
      <c r="R28" s="592">
        <v>1.1502200600000002E-2</v>
      </c>
      <c r="S28" s="261">
        <v>9377.9231208618967</v>
      </c>
    </row>
    <row r="29" spans="1:19" x14ac:dyDescent="0.45">
      <c r="A29" s="188" t="s">
        <v>30</v>
      </c>
      <c r="B29" s="257">
        <v>6.3742239899999997E-2</v>
      </c>
      <c r="C29" s="258">
        <v>1393776.3620528791</v>
      </c>
      <c r="D29" s="259">
        <v>1445746.4021916601</v>
      </c>
      <c r="E29" s="260">
        <v>110687.53651642175</v>
      </c>
      <c r="F29" s="260">
        <v>106723.18606889069</v>
      </c>
      <c r="G29" s="260">
        <v>141558.87919368461</v>
      </c>
      <c r="H29" s="260">
        <v>106452.97570230821</v>
      </c>
      <c r="I29" s="260">
        <v>104968.30866096217</v>
      </c>
      <c r="J29" s="260">
        <v>174221.55346587481</v>
      </c>
      <c r="K29" s="260">
        <v>98474.30152858689</v>
      </c>
      <c r="L29" s="260">
        <v>96088.283519400517</v>
      </c>
      <c r="M29" s="260">
        <v>147473.56077874659</v>
      </c>
      <c r="N29" s="260">
        <v>111902.04800829648</v>
      </c>
      <c r="O29" s="726">
        <v>151832.55022400964</v>
      </c>
      <c r="P29" s="727">
        <v>43393.178518938905</v>
      </c>
      <c r="R29" s="592">
        <v>6.3742239900000011E-2</v>
      </c>
      <c r="S29" s="261">
        <v>51970.040005539093</v>
      </c>
    </row>
    <row r="30" spans="1:19" x14ac:dyDescent="0.45">
      <c r="A30" s="188" t="s">
        <v>36</v>
      </c>
      <c r="B30" s="257">
        <v>0.52579878999999996</v>
      </c>
      <c r="C30" s="258">
        <v>11497021.846858658</v>
      </c>
      <c r="D30" s="259">
        <v>12031459.632950647</v>
      </c>
      <c r="E30" s="260">
        <v>913042.47951938328</v>
      </c>
      <c r="F30" s="260">
        <v>880341.23350546998</v>
      </c>
      <c r="G30" s="260">
        <v>1167694.8834958582</v>
      </c>
      <c r="H30" s="260">
        <v>878112.31459679303</v>
      </c>
      <c r="I30" s="260">
        <v>865865.5511457863</v>
      </c>
      <c r="J30" s="260">
        <v>1437123.6741600176</v>
      </c>
      <c r="K30" s="260">
        <v>812297.60157559416</v>
      </c>
      <c r="L30" s="260">
        <v>792615.74878666503</v>
      </c>
      <c r="M30" s="260">
        <v>1216484.0761182038</v>
      </c>
      <c r="N30" s="260">
        <v>923060.77623864915</v>
      </c>
      <c r="O30" s="726">
        <v>1252440.6314500801</v>
      </c>
      <c r="P30" s="727">
        <v>357942.87736525037</v>
      </c>
      <c r="R30" s="592">
        <v>0.52579879000000007</v>
      </c>
      <c r="S30" s="261">
        <v>534437.78499289474</v>
      </c>
    </row>
    <row r="31" spans="1:19" ht="15.75" outlineLevel="1" x14ac:dyDescent="0.5">
      <c r="A31" s="262"/>
      <c r="B31" s="263" t="s">
        <v>73</v>
      </c>
      <c r="C31" s="264"/>
      <c r="D31" s="265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7"/>
      <c r="R31" s="593"/>
      <c r="S31" s="267"/>
    </row>
    <row r="32" spans="1:19" outlineLevel="1" x14ac:dyDescent="0.45">
      <c r="A32" s="268" t="s">
        <v>48</v>
      </c>
      <c r="B32" s="269">
        <v>1.3092828E-3</v>
      </c>
      <c r="C32" s="264">
        <v>15052.852955316275</v>
      </c>
      <c r="D32" s="265">
        <v>15614.131933486578</v>
      </c>
      <c r="E32" s="266">
        <v>1195.4308141040808</v>
      </c>
      <c r="F32" s="266">
        <v>1152.6156351594955</v>
      </c>
      <c r="G32" s="266">
        <v>1528.842826609131</v>
      </c>
      <c r="H32" s="266">
        <v>1149.6973499697701</v>
      </c>
      <c r="I32" s="266">
        <v>1133.6628732276984</v>
      </c>
      <c r="J32" s="266">
        <v>1881.6013080505156</v>
      </c>
      <c r="K32" s="266">
        <v>1063.5272782241784</v>
      </c>
      <c r="L32" s="266">
        <v>1037.7581668955013</v>
      </c>
      <c r="M32" s="266">
        <v>1592.7216773354551</v>
      </c>
      <c r="N32" s="266">
        <v>1208.547597683912</v>
      </c>
      <c r="O32" s="726">
        <v>1639.798976778729</v>
      </c>
      <c r="P32" s="727">
        <v>468.64845271683163</v>
      </c>
      <c r="R32" s="594"/>
      <c r="S32" s="267">
        <v>561.2789767312787</v>
      </c>
    </row>
    <row r="33" spans="1:19" outlineLevel="1" x14ac:dyDescent="0.45">
      <c r="A33" s="268" t="s">
        <v>49</v>
      </c>
      <c r="B33" s="269">
        <v>6.9461881000000003E-3</v>
      </c>
      <c r="C33" s="264">
        <v>79860.476338089633</v>
      </c>
      <c r="D33" s="265">
        <v>82838.251161792141</v>
      </c>
      <c r="E33" s="266">
        <v>6342.164806032034</v>
      </c>
      <c r="F33" s="266">
        <v>6115.0158001150176</v>
      </c>
      <c r="G33" s="266">
        <v>8111.0283041698167</v>
      </c>
      <c r="H33" s="266">
        <v>6099.5333101157003</v>
      </c>
      <c r="I33" s="266">
        <v>6014.4649875688028</v>
      </c>
      <c r="J33" s="266">
        <v>9982.5313636785922</v>
      </c>
      <c r="K33" s="266">
        <v>5642.371933722934</v>
      </c>
      <c r="L33" s="266">
        <v>5505.6580820945219</v>
      </c>
      <c r="M33" s="266">
        <v>8449.9272133717623</v>
      </c>
      <c r="N33" s="266">
        <v>6411.753779485668</v>
      </c>
      <c r="O33" s="726">
        <v>8699.6882101350329</v>
      </c>
      <c r="P33" s="727">
        <v>2486.3385552342615</v>
      </c>
      <c r="R33" s="594"/>
      <c r="S33" s="267">
        <v>2977.7748160679917</v>
      </c>
    </row>
    <row r="34" spans="1:19" outlineLevel="1" x14ac:dyDescent="0.45">
      <c r="A34" s="268" t="s">
        <v>50</v>
      </c>
      <c r="B34" s="269">
        <v>7.7863254999999999E-3</v>
      </c>
      <c r="C34" s="264">
        <v>89519.554380252666</v>
      </c>
      <c r="D34" s="265">
        <v>92857.48933238168</v>
      </c>
      <c r="E34" s="266">
        <v>7109.245940865002</v>
      </c>
      <c r="F34" s="266">
        <v>6854.6233951450949</v>
      </c>
      <c r="G34" s="266">
        <v>9092.0524475833299</v>
      </c>
      <c r="H34" s="266">
        <v>6837.2683070090316</v>
      </c>
      <c r="I34" s="266">
        <v>6741.9110204579902</v>
      </c>
      <c r="J34" s="266">
        <v>11189.912710765837</v>
      </c>
      <c r="K34" s="266">
        <v>6324.8135287368887</v>
      </c>
      <c r="L34" s="266">
        <v>6171.5642164792043</v>
      </c>
      <c r="M34" s="266">
        <v>9471.9409822231119</v>
      </c>
      <c r="N34" s="266">
        <v>7187.2516600767876</v>
      </c>
      <c r="O34" s="726">
        <v>9751.9104258958596</v>
      </c>
      <c r="P34" s="727">
        <v>2787.0597535724219</v>
      </c>
      <c r="R34" s="594"/>
      <c r="S34" s="267">
        <v>3337.9349435711383</v>
      </c>
    </row>
    <row r="35" spans="1:19" outlineLevel="1" x14ac:dyDescent="0.45">
      <c r="A35" s="268" t="s">
        <v>51</v>
      </c>
      <c r="B35" s="269">
        <v>1.2115598700000001E-2</v>
      </c>
      <c r="C35" s="264">
        <v>139293.30294167236</v>
      </c>
      <c r="D35" s="265">
        <v>144487.16240294187</v>
      </c>
      <c r="E35" s="266">
        <v>11062.056277909818</v>
      </c>
      <c r="F35" s="266">
        <v>10665.86110421527</v>
      </c>
      <c r="G35" s="266">
        <v>14147.322612479071</v>
      </c>
      <c r="H35" s="266">
        <v>10638.856417182897</v>
      </c>
      <c r="I35" s="266">
        <v>10490.479545836673</v>
      </c>
      <c r="J35" s="266">
        <v>17411.613718392335</v>
      </c>
      <c r="K35" s="266">
        <v>9841.471765662387</v>
      </c>
      <c r="L35" s="266">
        <v>9603.0143355992459</v>
      </c>
      <c r="M35" s="266">
        <v>14738.432891188411</v>
      </c>
      <c r="N35" s="266">
        <v>11183.43394061797</v>
      </c>
      <c r="O35" s="726">
        <v>15174.06808622377</v>
      </c>
      <c r="P35" s="727">
        <v>4336.6922596806871</v>
      </c>
      <c r="R35" s="594"/>
      <c r="S35" s="267">
        <v>5193.8594479533458</v>
      </c>
    </row>
    <row r="36" spans="1:19" outlineLevel="1" x14ac:dyDescent="0.45">
      <c r="A36" s="268" t="s">
        <v>52</v>
      </c>
      <c r="B36" s="269">
        <v>9.1542360000000005E-4</v>
      </c>
      <c r="C36" s="264">
        <v>10524.645128330001</v>
      </c>
      <c r="D36" s="265">
        <v>10917.079843580963</v>
      </c>
      <c r="E36" s="266">
        <v>835.82063355456012</v>
      </c>
      <c r="F36" s="266">
        <v>805.88514120401794</v>
      </c>
      <c r="G36" s="266">
        <v>1068.935453951359</v>
      </c>
      <c r="H36" s="266">
        <v>803.84473623252882</v>
      </c>
      <c r="I36" s="266">
        <v>792.63375994585988</v>
      </c>
      <c r="J36" s="266">
        <v>1315.5769274447905</v>
      </c>
      <c r="K36" s="266">
        <v>743.59639470569607</v>
      </c>
      <c r="L36" s="266">
        <v>725.57916217098455</v>
      </c>
      <c r="M36" s="266">
        <v>1113.5982323028002</v>
      </c>
      <c r="N36" s="266">
        <v>844.99161880317877</v>
      </c>
      <c r="O36" s="726">
        <v>1146.5137116283056</v>
      </c>
      <c r="P36" s="727">
        <v>327.66935739205604</v>
      </c>
      <c r="R36" s="594"/>
      <c r="S36" s="267">
        <v>392.43471424482425</v>
      </c>
    </row>
    <row r="37" spans="1:19" outlineLevel="1" x14ac:dyDescent="0.45">
      <c r="A37" s="268" t="s">
        <v>53</v>
      </c>
      <c r="B37" s="269">
        <v>1.1515449999999999E-3</v>
      </c>
      <c r="C37" s="264">
        <v>13239.338022640852</v>
      </c>
      <c r="D37" s="265">
        <v>13732.996077964823</v>
      </c>
      <c r="E37" s="266">
        <v>1051.4095020781481</v>
      </c>
      <c r="F37" s="266">
        <v>1013.7525457370564</v>
      </c>
      <c r="G37" s="266">
        <v>1344.6532046152379</v>
      </c>
      <c r="H37" s="266">
        <v>1011.185845312364</v>
      </c>
      <c r="I37" s="266">
        <v>997.08314609417437</v>
      </c>
      <c r="J37" s="266">
        <v>1654.9125813605974</v>
      </c>
      <c r="K37" s="266">
        <v>935.39724160636752</v>
      </c>
      <c r="L37" s="266">
        <v>912.73270243654008</v>
      </c>
      <c r="M37" s="266">
        <v>1400.836155433537</v>
      </c>
      <c r="N37" s="266">
        <v>1062.9460215737352</v>
      </c>
      <c r="O37" s="726">
        <v>1442.2417469431823</v>
      </c>
      <c r="P37" s="727">
        <v>412.18733071556721</v>
      </c>
      <c r="R37" s="594"/>
      <c r="S37" s="267">
        <v>493.65805405831367</v>
      </c>
    </row>
    <row r="38" spans="1:19" outlineLevel="1" x14ac:dyDescent="0.45">
      <c r="A38" s="268" t="s">
        <v>54</v>
      </c>
      <c r="B38" s="269">
        <v>0</v>
      </c>
      <c r="C38" s="264">
        <v>0</v>
      </c>
      <c r="D38" s="265">
        <v>0</v>
      </c>
      <c r="E38" s="266">
        <v>0</v>
      </c>
      <c r="F38" s="266">
        <v>0</v>
      </c>
      <c r="G38" s="266">
        <v>0</v>
      </c>
      <c r="H38" s="266">
        <v>0</v>
      </c>
      <c r="I38" s="266">
        <v>0</v>
      </c>
      <c r="J38" s="266">
        <v>0</v>
      </c>
      <c r="K38" s="266">
        <v>0</v>
      </c>
      <c r="L38" s="266">
        <v>0</v>
      </c>
      <c r="M38" s="266">
        <v>0</v>
      </c>
      <c r="N38" s="266">
        <v>0</v>
      </c>
      <c r="O38" s="726">
        <v>0</v>
      </c>
      <c r="P38" s="727">
        <v>0</v>
      </c>
      <c r="R38" s="594"/>
      <c r="S38" s="267">
        <v>0</v>
      </c>
    </row>
    <row r="39" spans="1:19" outlineLevel="1" x14ac:dyDescent="0.45">
      <c r="A39" s="268" t="s">
        <v>55</v>
      </c>
      <c r="B39" s="269">
        <v>6.0671291000000002E-2</v>
      </c>
      <c r="C39" s="264">
        <v>697539.15810411912</v>
      </c>
      <c r="D39" s="265">
        <v>723548.45129635616</v>
      </c>
      <c r="E39" s="266">
        <v>55395.465970282043</v>
      </c>
      <c r="F39" s="266">
        <v>53411.439157309323</v>
      </c>
      <c r="G39" s="266">
        <v>70845.556075788307</v>
      </c>
      <c r="H39" s="266">
        <v>53276.207769585577</v>
      </c>
      <c r="I39" s="266">
        <v>52533.180820441383</v>
      </c>
      <c r="J39" s="266">
        <v>87192.148637951614</v>
      </c>
      <c r="K39" s="266">
        <v>49283.144163794932</v>
      </c>
      <c r="L39" s="266">
        <v>48089.020745818656</v>
      </c>
      <c r="M39" s="266">
        <v>73805.659379033692</v>
      </c>
      <c r="N39" s="266">
        <v>56003.288965860971</v>
      </c>
      <c r="O39" s="726">
        <v>75987.190010931561</v>
      </c>
      <c r="P39" s="727">
        <v>21716.85647400442</v>
      </c>
      <c r="R39" s="594"/>
      <c r="S39" s="267">
        <v>26009.293125553653</v>
      </c>
    </row>
    <row r="40" spans="1:19" outlineLevel="1" x14ac:dyDescent="0.45">
      <c r="A40" s="268" t="s">
        <v>56</v>
      </c>
      <c r="B40" s="269">
        <v>0.12967450189999999</v>
      </c>
      <c r="C40" s="264">
        <v>1490870.5813248144</v>
      </c>
      <c r="D40" s="265">
        <v>1546460.994580969</v>
      </c>
      <c r="E40" s="266">
        <v>118398.32874521698</v>
      </c>
      <c r="F40" s="266">
        <v>114157.8109568534</v>
      </c>
      <c r="G40" s="266">
        <v>151420.25238850393</v>
      </c>
      <c r="H40" s="266">
        <v>113868.77700759523</v>
      </c>
      <c r="I40" s="266">
        <v>112280.6840571988</v>
      </c>
      <c r="J40" s="266">
        <v>186358.29661539817</v>
      </c>
      <c r="K40" s="266">
        <v>105334.28687887982</v>
      </c>
      <c r="L40" s="266">
        <v>102782.05242200631</v>
      </c>
      <c r="M40" s="266">
        <v>157746.96663990975</v>
      </c>
      <c r="N40" s="266">
        <v>119697.44638217418</v>
      </c>
      <c r="O40" s="726">
        <v>162409.61504261059</v>
      </c>
      <c r="P40" s="727">
        <v>46416.064330991619</v>
      </c>
      <c r="R40" s="594"/>
      <c r="S40" s="267">
        <v>55590.413113630035</v>
      </c>
    </row>
    <row r="41" spans="1:19" outlineLevel="1" x14ac:dyDescent="0.45">
      <c r="A41" s="268" t="s">
        <v>57</v>
      </c>
      <c r="B41" s="269">
        <v>9.6890799999999999E-4</v>
      </c>
      <c r="C41" s="264">
        <v>11139.556443596128</v>
      </c>
      <c r="D41" s="265">
        <v>11554.919489823447</v>
      </c>
      <c r="E41" s="266">
        <v>884.65416274616666</v>
      </c>
      <c r="F41" s="266">
        <v>852.96966387331793</v>
      </c>
      <c r="G41" s="266">
        <v>1131.3889141782049</v>
      </c>
      <c r="H41" s="266">
        <v>850.81004651134958</v>
      </c>
      <c r="I41" s="266">
        <v>838.94405942956155</v>
      </c>
      <c r="J41" s="266">
        <v>1392.4406248830344</v>
      </c>
      <c r="K41" s="266">
        <v>787.04164454740578</v>
      </c>
      <c r="L41" s="266">
        <v>767.97173992539001</v>
      </c>
      <c r="M41" s="266">
        <v>1178.6611532235365</v>
      </c>
      <c r="N41" s="266">
        <v>894.36097058383712</v>
      </c>
      <c r="O41" s="726">
        <v>1213.4997473370343</v>
      </c>
      <c r="P41" s="727">
        <v>346.81371742221</v>
      </c>
      <c r="R41" s="594"/>
      <c r="S41" s="267">
        <v>415.36304516239716</v>
      </c>
    </row>
    <row r="42" spans="1:19" outlineLevel="1" x14ac:dyDescent="0.45">
      <c r="A42" s="268" t="s">
        <v>58</v>
      </c>
      <c r="B42" s="269">
        <v>1.2224697099999999E-2</v>
      </c>
      <c r="C42" s="264">
        <v>140547.60962992968</v>
      </c>
      <c r="D42" s="265">
        <v>145788.23869549861</v>
      </c>
      <c r="E42" s="266">
        <v>11161.667751557414</v>
      </c>
      <c r="F42" s="266">
        <v>10761.904924244742</v>
      </c>
      <c r="G42" s="266">
        <v>14274.716255956655</v>
      </c>
      <c r="H42" s="266">
        <v>10734.657065725703</v>
      </c>
      <c r="I42" s="266">
        <v>10584.944092081794</v>
      </c>
      <c r="J42" s="266">
        <v>17568.401611845311</v>
      </c>
      <c r="K42" s="266">
        <v>9930.0921343181217</v>
      </c>
      <c r="L42" s="266">
        <v>9689.4874456066718</v>
      </c>
      <c r="M42" s="266">
        <v>14871.149357518385</v>
      </c>
      <c r="N42" s="266">
        <v>11284.138394408363</v>
      </c>
      <c r="O42" s="726">
        <v>15310.707355209961</v>
      </c>
      <c r="P42" s="727">
        <v>4375.7432548926317</v>
      </c>
      <c r="R42" s="594"/>
      <c r="S42" s="267">
        <v>5240.6290521328392</v>
      </c>
    </row>
    <row r="43" spans="1:19" outlineLevel="1" x14ac:dyDescent="0.45">
      <c r="A43" s="268" t="s">
        <v>59</v>
      </c>
      <c r="B43" s="269">
        <v>0.14302865340000001</v>
      </c>
      <c r="C43" s="264">
        <v>1644403.5528665751</v>
      </c>
      <c r="D43" s="265">
        <v>1705718.783181543</v>
      </c>
      <c r="E43" s="266">
        <v>130591.23634265448</v>
      </c>
      <c r="F43" s="266">
        <v>125914.02116078234</v>
      </c>
      <c r="G43" s="266">
        <v>167013.82676848248</v>
      </c>
      <c r="H43" s="266">
        <v>125595.22189073649</v>
      </c>
      <c r="I43" s="266">
        <v>123843.58380583065</v>
      </c>
      <c r="J43" s="266">
        <v>205549.86388436772</v>
      </c>
      <c r="K43" s="266">
        <v>116181.83211340696</v>
      </c>
      <c r="L43" s="266">
        <v>113366.76321258939</v>
      </c>
      <c r="M43" s="266">
        <v>173992.07928972979</v>
      </c>
      <c r="N43" s="266">
        <v>132024.13983177271</v>
      </c>
      <c r="O43" s="726">
        <v>179134.89697975066</v>
      </c>
      <c r="P43" s="727">
        <v>51196.087743673103</v>
      </c>
      <c r="R43" s="594"/>
      <c r="S43" s="267">
        <v>61315.230157766324</v>
      </c>
    </row>
    <row r="44" spans="1:19" outlineLevel="1" x14ac:dyDescent="0.45">
      <c r="A44" s="268" t="s">
        <v>60</v>
      </c>
      <c r="B44" s="269">
        <v>0.62320758489999994</v>
      </c>
      <c r="C44" s="264">
        <v>7165031.2187233213</v>
      </c>
      <c r="D44" s="265">
        <v>7537941.1349543063</v>
      </c>
      <c r="E44" s="266">
        <v>569014.99857238249</v>
      </c>
      <c r="F44" s="266">
        <v>548635.33402083081</v>
      </c>
      <c r="G44" s="266">
        <v>727716.30824354058</v>
      </c>
      <c r="H44" s="266">
        <v>547246.25485081633</v>
      </c>
      <c r="I44" s="266">
        <v>539613.97897767287</v>
      </c>
      <c r="J44" s="266">
        <v>895626.37417587906</v>
      </c>
      <c r="K44" s="266">
        <v>506230.02649798844</v>
      </c>
      <c r="L44" s="266">
        <v>493964.14655504259</v>
      </c>
      <c r="M44" s="266">
        <v>758122.10314693348</v>
      </c>
      <c r="N44" s="266">
        <v>575258.47707560775</v>
      </c>
      <c r="O44" s="726">
        <v>780530.50115663535</v>
      </c>
      <c r="P44" s="727">
        <v>223072.71613495453</v>
      </c>
      <c r="R44" s="594"/>
      <c r="S44" s="267">
        <v>372909.91554602259</v>
      </c>
    </row>
    <row r="45" spans="1:19" outlineLevel="1" x14ac:dyDescent="0.45">
      <c r="A45" s="270" t="s">
        <v>80</v>
      </c>
      <c r="B45" s="271">
        <v>1</v>
      </c>
      <c r="C45" s="272">
        <v>11497021.846858658</v>
      </c>
      <c r="D45" s="272">
        <v>12031459.632950645</v>
      </c>
      <c r="E45" s="273">
        <v>913042.47951938317</v>
      </c>
      <c r="F45" s="273">
        <v>880341.23350546986</v>
      </c>
      <c r="G45" s="273">
        <v>1167694.8834958582</v>
      </c>
      <c r="H45" s="273">
        <v>878112.31459679292</v>
      </c>
      <c r="I45" s="273">
        <v>865865.5511457863</v>
      </c>
      <c r="J45" s="273">
        <v>1437123.6741600176</v>
      </c>
      <c r="K45" s="273">
        <v>812297.60157559416</v>
      </c>
      <c r="L45" s="273">
        <v>792615.74878666503</v>
      </c>
      <c r="M45" s="273">
        <v>1216484.0761182038</v>
      </c>
      <c r="N45" s="273">
        <v>923060.77623864904</v>
      </c>
      <c r="O45" s="273">
        <v>1252440.6314500801</v>
      </c>
      <c r="P45" s="274">
        <v>357942.87736525037</v>
      </c>
      <c r="R45" s="595"/>
      <c r="S45" s="293">
        <v>534437.78499289474</v>
      </c>
    </row>
    <row r="46" spans="1:19" x14ac:dyDescent="0.45">
      <c r="A46" s="188" t="s">
        <v>28</v>
      </c>
      <c r="B46" s="275">
        <v>2.3870441700000002E-2</v>
      </c>
      <c r="C46" s="258">
        <v>521946.78827440052</v>
      </c>
      <c r="D46" s="259">
        <v>541408.73086106882</v>
      </c>
      <c r="E46" s="260">
        <v>41450.698806269385</v>
      </c>
      <c r="F46" s="260">
        <v>39966.1134452181</v>
      </c>
      <c r="G46" s="260">
        <v>53011.51917804181</v>
      </c>
      <c r="H46" s="260">
        <v>39864.924017103214</v>
      </c>
      <c r="I46" s="260">
        <v>39308.940134046075</v>
      </c>
      <c r="J46" s="260">
        <v>65243.164366594494</v>
      </c>
      <c r="K46" s="260">
        <v>36877.039107412267</v>
      </c>
      <c r="L46" s="260">
        <v>35983.513811269775</v>
      </c>
      <c r="M46" s="260">
        <v>55226.472122459527</v>
      </c>
      <c r="N46" s="260">
        <v>41905.513789336459</v>
      </c>
      <c r="O46" s="726">
        <v>56858.843428948036</v>
      </c>
      <c r="P46" s="727">
        <v>16250.046117598444</v>
      </c>
      <c r="R46" s="596">
        <v>2.3870441700000005E-2</v>
      </c>
      <c r="S46" s="261">
        <v>19461.942536771265</v>
      </c>
    </row>
    <row r="47" spans="1:19" x14ac:dyDescent="0.45">
      <c r="A47" s="188" t="s">
        <v>29</v>
      </c>
      <c r="B47" s="275">
        <v>2.6843240800000001E-2</v>
      </c>
      <c r="C47" s="258">
        <v>586949.47913076729</v>
      </c>
      <c r="D47" s="259">
        <v>608835.19108597236</v>
      </c>
      <c r="E47" s="260">
        <v>46612.924191719569</v>
      </c>
      <c r="F47" s="260">
        <v>44943.450168754403</v>
      </c>
      <c r="G47" s="260">
        <v>59613.516681176217</v>
      </c>
      <c r="H47" s="260">
        <v>44829.658718246712</v>
      </c>
      <c r="I47" s="260">
        <v>44204.433201208129</v>
      </c>
      <c r="J47" s="260">
        <v>73368.477787592652</v>
      </c>
      <c r="K47" s="260">
        <v>41469.665839961584</v>
      </c>
      <c r="L47" s="260">
        <v>40464.861865796149</v>
      </c>
      <c r="M47" s="260">
        <v>62104.317479708312</v>
      </c>
      <c r="N47" s="260">
        <v>47124.381342925837</v>
      </c>
      <c r="O47" s="726">
        <v>63939.982550584718</v>
      </c>
      <c r="P47" s="727">
        <v>18273.809359204282</v>
      </c>
      <c r="R47" s="596">
        <v>2.6843240800000005E-2</v>
      </c>
      <c r="S47" s="261">
        <v>21885.711899093763</v>
      </c>
    </row>
    <row r="48" spans="1:19" ht="15.75" outlineLevel="1" x14ac:dyDescent="0.5">
      <c r="A48" s="262"/>
      <c r="B48" s="263" t="s">
        <v>72</v>
      </c>
      <c r="C48" s="264"/>
      <c r="D48" s="265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7"/>
      <c r="R48" s="593"/>
      <c r="S48" s="267" t="e">
        <v>#VALUE!</v>
      </c>
    </row>
    <row r="49" spans="1:19" outlineLevel="1" x14ac:dyDescent="0.45">
      <c r="A49" s="276" t="s">
        <v>29</v>
      </c>
      <c r="B49" s="269">
        <v>0.6750743881344401</v>
      </c>
      <c r="C49" s="264">
        <v>396234.56049003103</v>
      </c>
      <c r="D49" s="265">
        <v>467620.87564519315</v>
      </c>
      <c r="E49" s="266">
        <v>31467.191277882128</v>
      </c>
      <c r="F49" s="266">
        <v>30340.172123322576</v>
      </c>
      <c r="G49" s="266">
        <v>40243.558298087271</v>
      </c>
      <c r="H49" s="266">
        <v>30263.354429496168</v>
      </c>
      <c r="I49" s="266">
        <v>29841.280696135305</v>
      </c>
      <c r="J49" s="266">
        <v>49529.180250814366</v>
      </c>
      <c r="K49" s="266">
        <v>27995.109293051759</v>
      </c>
      <c r="L49" s="266">
        <v>27316.791864996972</v>
      </c>
      <c r="M49" s="266">
        <v>41925.034123121099</v>
      </c>
      <c r="N49" s="266">
        <v>31812.462901289684</v>
      </c>
      <c r="O49" s="726">
        <v>43164.244597662757</v>
      </c>
      <c r="P49" s="727">
        <v>12336.180672050235</v>
      </c>
      <c r="R49" s="594"/>
      <c r="S49" s="267">
        <v>71386.315117282851</v>
      </c>
    </row>
    <row r="50" spans="1:19" outlineLevel="1" x14ac:dyDescent="0.45">
      <c r="A50" s="276" t="s">
        <v>61</v>
      </c>
      <c r="B50" s="269">
        <v>0.31521388655034555</v>
      </c>
      <c r="C50" s="264">
        <v>185014.6265255101</v>
      </c>
      <c r="D50" s="265">
        <v>218347.18696933077</v>
      </c>
      <c r="E50" s="266">
        <v>14693.04099794855</v>
      </c>
      <c r="F50" s="266">
        <v>14166.799602674859</v>
      </c>
      <c r="G50" s="266">
        <v>18791.00828400741</v>
      </c>
      <c r="H50" s="266">
        <v>14130.930957304128</v>
      </c>
      <c r="I50" s="266">
        <v>13933.851192107946</v>
      </c>
      <c r="J50" s="266">
        <v>23126.763033709776</v>
      </c>
      <c r="K50" s="266">
        <v>13071.81454335839</v>
      </c>
      <c r="L50" s="266">
        <v>12755.086377440472</v>
      </c>
      <c r="M50" s="266">
        <v>19576.143284335416</v>
      </c>
      <c r="N50" s="266">
        <v>14854.259394384246</v>
      </c>
      <c r="O50" s="726">
        <v>20154.770405731084</v>
      </c>
      <c r="P50" s="727">
        <v>5760.1584701948614</v>
      </c>
      <c r="R50" s="594"/>
      <c r="S50" s="267">
        <v>33332.560426133634</v>
      </c>
    </row>
    <row r="51" spans="1:19" outlineLevel="1" x14ac:dyDescent="0.45">
      <c r="A51" s="276" t="s">
        <v>62</v>
      </c>
      <c r="B51" s="269">
        <v>9.7117253152142584E-3</v>
      </c>
      <c r="C51" s="264">
        <v>5700.292115226096</v>
      </c>
      <c r="D51" s="265">
        <v>6727.2667660763245</v>
      </c>
      <c r="E51" s="266">
        <v>452.69191588889043</v>
      </c>
      <c r="F51" s="266">
        <v>436.47844275696843</v>
      </c>
      <c r="G51" s="266">
        <v>578.95009908153588</v>
      </c>
      <c r="H51" s="266">
        <v>435.37333144641525</v>
      </c>
      <c r="I51" s="266">
        <v>429.30131296487707</v>
      </c>
      <c r="J51" s="266">
        <v>712.53450306850937</v>
      </c>
      <c r="K51" s="266">
        <v>402.74200355143512</v>
      </c>
      <c r="L51" s="266">
        <v>392.98362335870479</v>
      </c>
      <c r="M51" s="266">
        <v>603.14007225179739</v>
      </c>
      <c r="N51" s="266">
        <v>457.6590472519074</v>
      </c>
      <c r="O51" s="726">
        <v>620.96754719087767</v>
      </c>
      <c r="P51" s="727">
        <v>177.47021695918346</v>
      </c>
      <c r="R51" s="594"/>
      <c r="S51" s="267">
        <v>1026.9746503052218</v>
      </c>
    </row>
    <row r="52" spans="1:19" outlineLevel="1" x14ac:dyDescent="0.45">
      <c r="A52" s="270" t="s">
        <v>81</v>
      </c>
      <c r="B52" s="269">
        <v>0.99999999999999989</v>
      </c>
      <c r="C52" s="264">
        <v>586949.47913076717</v>
      </c>
      <c r="D52" s="264">
        <v>692695.32938060036</v>
      </c>
      <c r="E52" s="265">
        <v>46612.924191719569</v>
      </c>
      <c r="F52" s="265">
        <v>44943.450168754403</v>
      </c>
      <c r="G52" s="265">
        <v>59613.516681176217</v>
      </c>
      <c r="H52" s="265">
        <v>44829.658718246719</v>
      </c>
      <c r="I52" s="265">
        <v>44204.433201208129</v>
      </c>
      <c r="J52" s="265">
        <v>73368.477787592652</v>
      </c>
      <c r="K52" s="265">
        <v>41469.665839961584</v>
      </c>
      <c r="L52" s="265">
        <v>40464.861865796149</v>
      </c>
      <c r="M52" s="265">
        <v>62104.317479708319</v>
      </c>
      <c r="N52" s="265">
        <v>47124.381342925837</v>
      </c>
      <c r="O52" s="265">
        <v>63939.982550584718</v>
      </c>
      <c r="P52" s="277">
        <v>18273.809359204279</v>
      </c>
      <c r="R52" s="594"/>
      <c r="S52" s="277">
        <v>105745.85019372171</v>
      </c>
    </row>
    <row r="53" spans="1:19" ht="14.65" thickBot="1" x14ac:dyDescent="0.5">
      <c r="A53" s="195" t="s">
        <v>31</v>
      </c>
      <c r="B53" s="278">
        <v>0</v>
      </c>
      <c r="C53" s="279">
        <v>0</v>
      </c>
      <c r="D53" s="259">
        <v>0</v>
      </c>
      <c r="E53" s="281">
        <v>0</v>
      </c>
      <c r="F53" s="281">
        <v>0</v>
      </c>
      <c r="G53" s="281">
        <v>0</v>
      </c>
      <c r="H53" s="281">
        <v>0</v>
      </c>
      <c r="I53" s="281">
        <v>0</v>
      </c>
      <c r="J53" s="281">
        <v>0</v>
      </c>
      <c r="K53" s="281">
        <v>0</v>
      </c>
      <c r="L53" s="281">
        <v>0</v>
      </c>
      <c r="M53" s="281">
        <v>0</v>
      </c>
      <c r="N53" s="281">
        <v>0</v>
      </c>
      <c r="O53" s="281">
        <v>0</v>
      </c>
      <c r="P53" s="282">
        <v>0</v>
      </c>
      <c r="R53" s="597">
        <v>0</v>
      </c>
      <c r="S53" s="282">
        <v>0</v>
      </c>
    </row>
    <row r="54" spans="1:19" ht="14.65" thickBot="1" x14ac:dyDescent="0.5">
      <c r="A54" s="55" t="s">
        <v>95</v>
      </c>
      <c r="B54" s="56">
        <v>0.99999999999999989</v>
      </c>
      <c r="C54" s="65">
        <v>21865820.282429062</v>
      </c>
      <c r="D54" s="65">
        <v>22786881.694490593</v>
      </c>
      <c r="E54" s="136">
        <v>1736486.46</v>
      </c>
      <c r="F54" s="136">
        <v>1674293</v>
      </c>
      <c r="G54" s="136">
        <v>2220801.7699999996</v>
      </c>
      <c r="H54" s="136">
        <v>1670053.89</v>
      </c>
      <c r="I54" s="136">
        <v>1646762.1599999997</v>
      </c>
      <c r="J54" s="136">
        <v>2733219.8199999994</v>
      </c>
      <c r="K54" s="136">
        <v>1544882.98</v>
      </c>
      <c r="L54" s="136">
        <v>1507450.69</v>
      </c>
      <c r="M54" s="136">
        <v>2313592.3841099059</v>
      </c>
      <c r="N54" s="136">
        <v>1755539.9399809367</v>
      </c>
      <c r="O54" s="136">
        <v>2381977.0133934319</v>
      </c>
      <c r="P54" s="137">
        <v>680760.17703511706</v>
      </c>
      <c r="R54" s="590">
        <v>1.0000000000000002</v>
      </c>
      <c r="S54" s="137">
        <v>921061.40997120435</v>
      </c>
    </row>
    <row r="56" spans="1:19" hidden="1" x14ac:dyDescent="0.45"/>
    <row r="57" spans="1:19" hidden="1" x14ac:dyDescent="0.45">
      <c r="A57" t="s">
        <v>43</v>
      </c>
      <c r="C57" s="39">
        <v>12623029.373389119</v>
      </c>
      <c r="D57" s="39"/>
    </row>
    <row r="58" spans="1:19" hidden="1" x14ac:dyDescent="0.45"/>
    <row r="59" spans="1:19" ht="57.4" hidden="1" thickBot="1" x14ac:dyDescent="0.5">
      <c r="A59" s="316" t="s">
        <v>37</v>
      </c>
      <c r="B59" s="315" t="s">
        <v>356</v>
      </c>
      <c r="C59" s="315" t="s">
        <v>357</v>
      </c>
      <c r="D59" s="57" t="s">
        <v>349</v>
      </c>
      <c r="E59" s="27" t="s">
        <v>7</v>
      </c>
      <c r="F59" s="27" t="s">
        <v>8</v>
      </c>
      <c r="G59" s="27" t="s">
        <v>9</v>
      </c>
      <c r="H59" s="27" t="s">
        <v>10</v>
      </c>
      <c r="I59" s="27" t="s">
        <v>11</v>
      </c>
      <c r="J59" s="27" t="s">
        <v>12</v>
      </c>
      <c r="K59" s="27" t="s">
        <v>13</v>
      </c>
      <c r="L59" s="27" t="s">
        <v>14</v>
      </c>
      <c r="M59" s="27" t="s">
        <v>15</v>
      </c>
      <c r="N59" s="27" t="s">
        <v>16</v>
      </c>
      <c r="O59" s="27" t="s">
        <v>17</v>
      </c>
      <c r="P59" s="28" t="s">
        <v>18</v>
      </c>
      <c r="R59" s="412" t="s">
        <v>175</v>
      </c>
      <c r="S59" s="598" t="s">
        <v>172</v>
      </c>
    </row>
    <row r="60" spans="1:19" ht="4.5" hidden="1" customHeight="1" thickBot="1" x14ac:dyDescent="0.5">
      <c r="A60" s="40"/>
      <c r="B60" s="41"/>
      <c r="C60" s="41"/>
      <c r="D60" s="41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3"/>
      <c r="R60" s="589"/>
      <c r="S60" s="43"/>
    </row>
    <row r="61" spans="1:19" hidden="1" x14ac:dyDescent="0.45">
      <c r="A61" s="283" t="s">
        <v>44</v>
      </c>
      <c r="B61" s="284">
        <v>0.2029597891992356</v>
      </c>
      <c r="C61" s="285">
        <v>2561967.3806788148</v>
      </c>
      <c r="D61" s="254">
        <v>2722457.16</v>
      </c>
      <c r="E61" s="255">
        <v>203604.44</v>
      </c>
      <c r="F61" s="255">
        <v>196280.49</v>
      </c>
      <c r="G61" s="255">
        <v>260637.85</v>
      </c>
      <c r="H61" s="255">
        <v>195781.29</v>
      </c>
      <c r="I61" s="255">
        <v>193038.43</v>
      </c>
      <c r="J61" s="255">
        <v>320980.65000000002</v>
      </c>
      <c r="K61" s="255">
        <v>180249.13</v>
      </c>
      <c r="L61" s="255">
        <v>175845.08</v>
      </c>
      <c r="M61" s="255">
        <v>271316.88</v>
      </c>
      <c r="N61" s="255">
        <v>205659.96</v>
      </c>
      <c r="O61" s="255">
        <v>279362.58</v>
      </c>
      <c r="P61" s="256">
        <v>79210.62</v>
      </c>
      <c r="R61" s="603">
        <v>0.2029597891992356</v>
      </c>
      <c r="S61" s="599">
        <v>160489.76</v>
      </c>
    </row>
    <row r="62" spans="1:19" ht="15.75" hidden="1" outlineLevel="1" x14ac:dyDescent="0.5">
      <c r="A62" s="262"/>
      <c r="B62" s="263" t="s">
        <v>71</v>
      </c>
      <c r="C62" s="264"/>
      <c r="D62" s="265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7"/>
      <c r="R62" s="593"/>
      <c r="S62" s="600"/>
    </row>
    <row r="63" spans="1:19" hidden="1" outlineLevel="1" x14ac:dyDescent="0.45">
      <c r="A63" s="276" t="s">
        <v>63</v>
      </c>
      <c r="B63" s="269">
        <v>0.73449730765567134</v>
      </c>
      <c r="C63" s="264">
        <v>1881758.1434102419</v>
      </c>
      <c r="D63" s="265">
        <v>1999637.4542279053</v>
      </c>
      <c r="E63" s="266">
        <v>149546.91300674068</v>
      </c>
      <c r="F63" s="266">
        <v>144167.49145033592</v>
      </c>
      <c r="G63" s="266">
        <v>191437.79909816271</v>
      </c>
      <c r="H63" s="266">
        <v>143800.83039435421</v>
      </c>
      <c r="I63" s="266">
        <v>141786.20710907778</v>
      </c>
      <c r="J63" s="266">
        <v>235759.42323456737</v>
      </c>
      <c r="K63" s="266">
        <v>132392.5006922771</v>
      </c>
      <c r="L63" s="266">
        <v>129157.73782449613</v>
      </c>
      <c r="M63" s="266">
        <v>199281.51788153686</v>
      </c>
      <c r="N63" s="266">
        <v>151056.68691257306</v>
      </c>
      <c r="O63" s="266">
        <v>205191.06286974211</v>
      </c>
      <c r="P63" s="267">
        <v>58179.987127736473</v>
      </c>
      <c r="R63" s="594"/>
      <c r="S63" s="600">
        <v>117879.29662630486</v>
      </c>
    </row>
    <row r="64" spans="1:19" hidden="1" outlineLevel="1" x14ac:dyDescent="0.45">
      <c r="A64" s="276" t="s">
        <v>64</v>
      </c>
      <c r="B64" s="269">
        <v>0.11505079313494221</v>
      </c>
      <c r="C64" s="264">
        <v>294756.37913294806</v>
      </c>
      <c r="D64" s="265">
        <v>313220.85553390224</v>
      </c>
      <c r="E64" s="266">
        <v>23424.852307795754</v>
      </c>
      <c r="F64" s="266">
        <v>22582.226051415091</v>
      </c>
      <c r="G64" s="266">
        <v>29986.591363486099</v>
      </c>
      <c r="H64" s="266">
        <v>22524.792695482131</v>
      </c>
      <c r="I64" s="266">
        <v>22209.224477024021</v>
      </c>
      <c r="J64" s="266">
        <v>36929.078363469293</v>
      </c>
      <c r="K64" s="266">
        <v>20737.805368383306</v>
      </c>
      <c r="L64" s="266">
        <v>20231.115922877361</v>
      </c>
      <c r="M64" s="266">
        <v>31215.222234897941</v>
      </c>
      <c r="N64" s="266">
        <v>23661.341514100488</v>
      </c>
      <c r="O64" s="266">
        <v>32140.886401223746</v>
      </c>
      <c r="P64" s="267">
        <v>9113.2446557105159</v>
      </c>
      <c r="R64" s="594"/>
      <c r="S64" s="600">
        <v>18464.474178036522</v>
      </c>
    </row>
    <row r="65" spans="1:19" hidden="1" outlineLevel="1" x14ac:dyDescent="0.45">
      <c r="A65" s="276" t="s">
        <v>65</v>
      </c>
      <c r="B65" s="269">
        <v>0.15045189920938651</v>
      </c>
      <c r="C65" s="264">
        <v>385452.85813562502</v>
      </c>
      <c r="D65" s="265">
        <v>409598.85023819271</v>
      </c>
      <c r="E65" s="266">
        <v>30632.674685463582</v>
      </c>
      <c r="F65" s="266">
        <v>29530.772498248996</v>
      </c>
      <c r="G65" s="266">
        <v>39213.459538351199</v>
      </c>
      <c r="H65" s="266">
        <v>29455.666910163673</v>
      </c>
      <c r="I65" s="266">
        <v>29042.998413898211</v>
      </c>
      <c r="J65" s="266">
        <v>48292.148401963372</v>
      </c>
      <c r="K65" s="266">
        <v>27118.823939339607</v>
      </c>
      <c r="L65" s="266">
        <v>26456.226252626504</v>
      </c>
      <c r="M65" s="266">
        <v>40820.139883565214</v>
      </c>
      <c r="N65" s="266">
        <v>30941.931573326459</v>
      </c>
      <c r="O65" s="266">
        <v>42030.630729034179</v>
      </c>
      <c r="P65" s="267">
        <v>11917.388216553014</v>
      </c>
      <c r="R65" s="594"/>
      <c r="S65" s="600">
        <v>24145.989195658633</v>
      </c>
    </row>
    <row r="66" spans="1:19" hidden="1" outlineLevel="1" x14ac:dyDescent="0.45">
      <c r="A66" s="270" t="s">
        <v>77</v>
      </c>
      <c r="B66" s="269">
        <v>1</v>
      </c>
      <c r="C66" s="264">
        <v>2561967.3806788148</v>
      </c>
      <c r="D66" s="265">
        <v>2722457.16</v>
      </c>
      <c r="E66" s="264">
        <v>203604.44</v>
      </c>
      <c r="F66" s="264">
        <v>196280.49</v>
      </c>
      <c r="G66" s="264">
        <v>260637.85</v>
      </c>
      <c r="H66" s="264">
        <v>195781.29</v>
      </c>
      <c r="I66" s="264">
        <v>193038.43</v>
      </c>
      <c r="J66" s="264">
        <v>320980.65000000002</v>
      </c>
      <c r="K66" s="264">
        <v>180249.13</v>
      </c>
      <c r="L66" s="264">
        <v>175845.08000000002</v>
      </c>
      <c r="M66" s="264">
        <v>271316.88</v>
      </c>
      <c r="N66" s="264">
        <v>205659.96000000002</v>
      </c>
      <c r="O66" s="264">
        <v>279362.58</v>
      </c>
      <c r="P66" s="286">
        <v>79210.62</v>
      </c>
      <c r="R66" s="594"/>
      <c r="S66" s="601">
        <v>160489.76</v>
      </c>
    </row>
    <row r="67" spans="1:19" ht="14.65" hidden="1" collapsed="1" thickBot="1" x14ac:dyDescent="0.5">
      <c r="A67" s="287" t="s">
        <v>45</v>
      </c>
      <c r="B67" s="288">
        <v>0.79704021080076437</v>
      </c>
      <c r="C67" s="289">
        <v>10061061.992710304</v>
      </c>
      <c r="D67" s="280">
        <v>10691318.790000001</v>
      </c>
      <c r="E67" s="281">
        <v>799571.82</v>
      </c>
      <c r="F67" s="281">
        <v>770810.02</v>
      </c>
      <c r="G67" s="281">
        <v>1023546.8</v>
      </c>
      <c r="H67" s="281">
        <v>768849.62</v>
      </c>
      <c r="I67" s="281">
        <v>758078.2</v>
      </c>
      <c r="J67" s="281">
        <v>1260518.08</v>
      </c>
      <c r="K67" s="281">
        <v>707853.52</v>
      </c>
      <c r="L67" s="281">
        <v>690558.46</v>
      </c>
      <c r="M67" s="281">
        <v>1065484.26</v>
      </c>
      <c r="N67" s="281">
        <v>807644.02</v>
      </c>
      <c r="O67" s="281">
        <v>1097080.4099999999</v>
      </c>
      <c r="P67" s="282">
        <v>311066.77</v>
      </c>
      <c r="R67" s="604">
        <v>0.79704021080076437</v>
      </c>
      <c r="S67" s="602">
        <v>630256.81000000006</v>
      </c>
    </row>
    <row r="68" spans="1:19" ht="16.149999999999999" hidden="1" outlineLevel="1" thickBot="1" x14ac:dyDescent="0.55000000000000004">
      <c r="A68" s="68"/>
      <c r="B68" s="69" t="s">
        <v>74</v>
      </c>
      <c r="C68" s="70"/>
      <c r="D68" s="71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3"/>
      <c r="R68" s="605"/>
    </row>
    <row r="69" spans="1:19" hidden="1" outlineLevel="1" x14ac:dyDescent="0.45">
      <c r="A69" s="79" t="s">
        <v>66</v>
      </c>
      <c r="B69" s="74">
        <v>0.74815819365314751</v>
      </c>
      <c r="C69" s="75">
        <v>7527265.966698477</v>
      </c>
      <c r="D69" s="76">
        <v>7527265.9571891604</v>
      </c>
      <c r="E69" s="77">
        <v>598206.20854715956</v>
      </c>
      <c r="F69" s="77">
        <v>576687.83221294649</v>
      </c>
      <c r="G69" s="77">
        <v>765774.92500745947</v>
      </c>
      <c r="H69" s="77">
        <v>575221.14289010887</v>
      </c>
      <c r="I69" s="77">
        <v>567162.4167598295</v>
      </c>
      <c r="J69" s="77">
        <v>943066.92979993368</v>
      </c>
      <c r="K69" s="77">
        <v>529586.41089422209</v>
      </c>
      <c r="L69" s="77">
        <v>516646.97004549927</v>
      </c>
      <c r="M69" s="77">
        <v>797150.77932746056</v>
      </c>
      <c r="N69" s="77">
        <v>604245.49111796659</v>
      </c>
      <c r="O69" s="77">
        <v>820789.69783785439</v>
      </c>
      <c r="P69" s="78">
        <v>232727.15274871912</v>
      </c>
      <c r="R69" s="606"/>
    </row>
    <row r="70" spans="1:19" s="129" customFormat="1" hidden="1" outlineLevel="2" x14ac:dyDescent="0.45">
      <c r="A70" s="90"/>
      <c r="B70" s="88" t="s">
        <v>75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91"/>
      <c r="R70" s="607"/>
    </row>
    <row r="71" spans="1:19" s="129" customFormat="1" hidden="1" outlineLevel="2" x14ac:dyDescent="0.45">
      <c r="A71" s="92" t="s">
        <v>68</v>
      </c>
      <c r="B71" s="86">
        <v>2.9538024408195404E-2</v>
      </c>
      <c r="C71" s="87">
        <v>222340.56585131818</v>
      </c>
      <c r="D71" s="85">
        <v>222340.56557043173</v>
      </c>
      <c r="E71" s="87">
        <v>17669.829589200028</v>
      </c>
      <c r="F71" s="87">
        <v>17034.21926381531</v>
      </c>
      <c r="G71" s="87">
        <v>22619.478426054342</v>
      </c>
      <c r="H71" s="87">
        <v>16990.896158798092</v>
      </c>
      <c r="I71" s="87">
        <v>16752.857309662937</v>
      </c>
      <c r="J71" s="87">
        <v>27856.333990992342</v>
      </c>
      <c r="K71" s="87">
        <v>15642.936331242132</v>
      </c>
      <c r="L71" s="87">
        <v>15260.730811624157</v>
      </c>
      <c r="M71" s="87">
        <v>23546.25917678652</v>
      </c>
      <c r="N71" s="87">
        <v>17848.218065184516</v>
      </c>
      <c r="O71" s="87">
        <v>24244.506128729874</v>
      </c>
      <c r="P71" s="93">
        <v>6874.3003183414858</v>
      </c>
      <c r="R71" s="608"/>
    </row>
    <row r="72" spans="1:19" s="129" customFormat="1" hidden="1" outlineLevel="2" x14ac:dyDescent="0.45">
      <c r="A72" s="92" t="s">
        <v>69</v>
      </c>
      <c r="B72" s="86">
        <v>4.5788473717542751E-2</v>
      </c>
      <c r="C72" s="87">
        <v>344662.01988112723</v>
      </c>
      <c r="D72" s="85">
        <v>344662.01944571018</v>
      </c>
      <c r="E72" s="87">
        <v>27390.949257732515</v>
      </c>
      <c r="F72" s="87">
        <v>26405.655648509204</v>
      </c>
      <c r="G72" s="87">
        <v>35063.665027257332</v>
      </c>
      <c r="H72" s="87">
        <v>26338.498182998654</v>
      </c>
      <c r="I72" s="87">
        <v>25969.501413385482</v>
      </c>
      <c r="J72" s="87">
        <v>43181.595329028001</v>
      </c>
      <c r="K72" s="87">
        <v>24248.953456397885</v>
      </c>
      <c r="L72" s="87">
        <v>23656.476209176439</v>
      </c>
      <c r="M72" s="87">
        <v>36500.317508154149</v>
      </c>
      <c r="N72" s="87">
        <v>27667.478788998724</v>
      </c>
      <c r="O72" s="87">
        <v>37582.707507078449</v>
      </c>
      <c r="P72" s="93">
        <v>10656.221116993282</v>
      </c>
      <c r="R72" s="608"/>
    </row>
    <row r="73" spans="1:19" s="129" customFormat="1" hidden="1" outlineLevel="2" x14ac:dyDescent="0.45">
      <c r="A73" s="96" t="s">
        <v>70</v>
      </c>
      <c r="B73" s="97">
        <v>0.92467350187426189</v>
      </c>
      <c r="C73" s="98">
        <v>6960263.3809660319</v>
      </c>
      <c r="D73" s="85">
        <v>6960263.3721730178</v>
      </c>
      <c r="E73" s="98">
        <v>553145.42970022711</v>
      </c>
      <c r="F73" s="98">
        <v>533247.95730062202</v>
      </c>
      <c r="G73" s="98">
        <v>708091.78155414783</v>
      </c>
      <c r="H73" s="98">
        <v>531891.74854831211</v>
      </c>
      <c r="I73" s="98">
        <v>524440.05803678115</v>
      </c>
      <c r="J73" s="98">
        <v>872029.00047991343</v>
      </c>
      <c r="K73" s="98">
        <v>489694.52110658208</v>
      </c>
      <c r="L73" s="98">
        <v>477729.76302469871</v>
      </c>
      <c r="M73" s="98">
        <v>737104.20264251996</v>
      </c>
      <c r="N73" s="98">
        <v>558729.79426378338</v>
      </c>
      <c r="O73" s="98">
        <v>758962.48420204606</v>
      </c>
      <c r="P73" s="99">
        <v>215196.63131338437</v>
      </c>
      <c r="R73" s="609"/>
    </row>
    <row r="74" spans="1:19" s="129" customFormat="1" hidden="1" outlineLevel="2" x14ac:dyDescent="0.45">
      <c r="A74" s="94" t="s">
        <v>76</v>
      </c>
      <c r="B74" s="95">
        <v>1</v>
      </c>
      <c r="C74" s="100">
        <v>7527265.966698477</v>
      </c>
      <c r="D74" s="100">
        <v>7527265.9571891595</v>
      </c>
      <c r="E74" s="100">
        <v>598206.20854715968</v>
      </c>
      <c r="F74" s="100">
        <v>576687.83221294649</v>
      </c>
      <c r="G74" s="100">
        <v>765774.92500745947</v>
      </c>
      <c r="H74" s="100">
        <v>575221.14289010887</v>
      </c>
      <c r="I74" s="100">
        <v>567162.41675982962</v>
      </c>
      <c r="J74" s="100">
        <v>943066.9297999338</v>
      </c>
      <c r="K74" s="100">
        <v>529586.41089422209</v>
      </c>
      <c r="L74" s="100">
        <v>516646.97004549933</v>
      </c>
      <c r="M74" s="100">
        <v>797150.77932746056</v>
      </c>
      <c r="N74" s="100">
        <v>604245.49111796659</v>
      </c>
      <c r="O74" s="100">
        <v>820789.69783785439</v>
      </c>
      <c r="P74" s="101">
        <v>232727.15274871915</v>
      </c>
      <c r="R74" s="610"/>
    </row>
    <row r="75" spans="1:19" hidden="1" outlineLevel="1" collapsed="1" x14ac:dyDescent="0.45">
      <c r="A75" s="79" t="s">
        <v>67</v>
      </c>
      <c r="B75" s="74">
        <v>0.25184180634685249</v>
      </c>
      <c r="C75" s="75">
        <v>2533796.026011826</v>
      </c>
      <c r="D75" s="76">
        <v>2533796.02281084</v>
      </c>
      <c r="E75" s="77">
        <v>201365.61145284039</v>
      </c>
      <c r="F75" s="77">
        <v>194122.1877870535</v>
      </c>
      <c r="G75" s="77">
        <v>257771.87499254057</v>
      </c>
      <c r="H75" s="77">
        <v>193628.47710989113</v>
      </c>
      <c r="I75" s="77">
        <v>190915.78324017051</v>
      </c>
      <c r="J75" s="77">
        <v>317451.15020006633</v>
      </c>
      <c r="K75" s="77">
        <v>178267.10910577787</v>
      </c>
      <c r="L75" s="77">
        <v>173911.48995450066</v>
      </c>
      <c r="M75" s="77">
        <v>268333.48067253944</v>
      </c>
      <c r="N75" s="77">
        <v>203398.52888203345</v>
      </c>
      <c r="O75" s="77">
        <v>276290.71216214553</v>
      </c>
      <c r="P75" s="78">
        <v>78339.617251280913</v>
      </c>
      <c r="R75" s="606"/>
    </row>
    <row r="76" spans="1:19" ht="14.65" hidden="1" outlineLevel="1" thickBot="1" x14ac:dyDescent="0.5">
      <c r="A76" s="102" t="s">
        <v>78</v>
      </c>
      <c r="B76" s="80">
        <v>1</v>
      </c>
      <c r="C76" s="70">
        <v>10061061.992710304</v>
      </c>
      <c r="D76" s="70">
        <v>10061061.98</v>
      </c>
      <c r="E76" s="70">
        <v>799571.82</v>
      </c>
      <c r="F76" s="70">
        <v>770810.02</v>
      </c>
      <c r="G76" s="70">
        <v>1023546.8</v>
      </c>
      <c r="H76" s="70">
        <v>768849.62</v>
      </c>
      <c r="I76" s="70">
        <v>758078.2</v>
      </c>
      <c r="J76" s="70">
        <v>1260518.08</v>
      </c>
      <c r="K76" s="70">
        <v>707853.52</v>
      </c>
      <c r="L76" s="70">
        <v>690558.46</v>
      </c>
      <c r="M76" s="70">
        <v>1065484.26</v>
      </c>
      <c r="N76" s="70">
        <v>807644.02</v>
      </c>
      <c r="O76" s="70">
        <v>1097080.4099999999</v>
      </c>
      <c r="P76" s="81">
        <v>311066.77</v>
      </c>
      <c r="R76" s="611"/>
    </row>
    <row r="77" spans="1:19" ht="14.65" hidden="1" collapsed="1" thickBot="1" x14ac:dyDescent="0.5">
      <c r="A77" s="55" t="s">
        <v>79</v>
      </c>
      <c r="B77" s="51">
        <v>1</v>
      </c>
      <c r="C77" s="59">
        <v>12623029.373389117</v>
      </c>
      <c r="D77" s="59">
        <v>13413775.950000001</v>
      </c>
      <c r="E77" s="209">
        <v>1003176.26</v>
      </c>
      <c r="F77" s="209">
        <v>967090.51</v>
      </c>
      <c r="G77" s="209">
        <v>1284184.6500000001</v>
      </c>
      <c r="H77" s="209">
        <v>964630.91</v>
      </c>
      <c r="I77" s="209">
        <v>951116.62999999989</v>
      </c>
      <c r="J77" s="209">
        <v>1581498.73</v>
      </c>
      <c r="K77" s="209">
        <v>888102.65</v>
      </c>
      <c r="L77" s="209">
        <v>866403.53999999992</v>
      </c>
      <c r="M77" s="209">
        <v>1336801.1400000001</v>
      </c>
      <c r="N77" s="209">
        <v>1013303.98</v>
      </c>
      <c r="O77" s="209">
        <v>1376442.99</v>
      </c>
      <c r="P77" s="210">
        <v>390277.39</v>
      </c>
      <c r="R77" s="612">
        <v>1</v>
      </c>
      <c r="S77" s="210">
        <v>790746.57000000007</v>
      </c>
    </row>
    <row r="78" spans="1:19" hidden="1" x14ac:dyDescent="0.45"/>
    <row r="79" spans="1:19" hidden="1" x14ac:dyDescent="0.45"/>
    <row r="80" spans="1:19" hidden="1" x14ac:dyDescent="0.45">
      <c r="A80" t="s">
        <v>47</v>
      </c>
      <c r="C80" s="39">
        <v>0</v>
      </c>
    </row>
    <row r="81" spans="1:16" hidden="1" x14ac:dyDescent="0.45"/>
    <row r="82" spans="1:16" ht="14.65" hidden="1" thickBot="1" x14ac:dyDescent="0.5">
      <c r="A82" s="55" t="s">
        <v>23</v>
      </c>
      <c r="B82" s="211">
        <v>1</v>
      </c>
      <c r="C82" s="62">
        <v>0</v>
      </c>
      <c r="D82" s="66">
        <v>0</v>
      </c>
      <c r="E82" s="63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4">
        <v>0</v>
      </c>
    </row>
    <row r="83" spans="1:16" hidden="1" x14ac:dyDescent="0.45"/>
    <row r="84" spans="1:16" hidden="1" x14ac:dyDescent="0.45"/>
    <row r="85" spans="1:16" hidden="1" x14ac:dyDescent="0.45"/>
  </sheetData>
  <dataValidations count="1">
    <dataValidation allowBlank="1" showInputMessage="1" showErrorMessage="1" prompt="Please spell out the month, do not abbreviate" sqref="D1"/>
  </dataValidations>
  <hyperlinks>
    <hyperlink ref="A5" r:id="rId1" display="Protective Services"/>
    <hyperlink ref="A6" r:id="rId2" display="Behavioral Health"/>
    <hyperlink ref="A7" r:id="rId3" display="WCRTS"/>
    <hyperlink ref="A14" r:id="rId4"/>
    <hyperlink ref="A15" r:id="rId5" display="Behavioral Health"/>
    <hyperlink ref="A16" r:id="rId6" display="WCRTS"/>
  </hyperlinks>
  <pageMargins left="0.5" right="0.5" top="0.5" bottom="0.5" header="0.25" footer="0"/>
  <pageSetup paperSize="5" scale="62" orientation="landscape" r:id="rId7"/>
  <headerFooter alignWithMargins="0">
    <oddHeader>&amp;C&amp;"Calibri,Bold"&amp;14&amp;A</oddHeader>
    <oddFooter>&amp;L&amp;Z&amp;F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workbookViewId="0">
      <selection activeCell="K34" sqref="K34"/>
    </sheetView>
  </sheetViews>
  <sheetFormatPr defaultRowHeight="14.25" outlineLevelRow="2" x14ac:dyDescent="0.45"/>
  <cols>
    <col min="1" max="1" width="30.1328125" customWidth="1"/>
    <col min="2" max="3" width="16.1328125" customWidth="1"/>
    <col min="4" max="4" width="17.3984375" bestFit="1" customWidth="1"/>
    <col min="5" max="5" width="13.73046875" bestFit="1" customWidth="1"/>
    <col min="6" max="7" width="12.73046875" customWidth="1"/>
    <col min="8" max="8" width="13.73046875" bestFit="1" customWidth="1"/>
    <col min="9" max="16" width="12.73046875" customWidth="1"/>
    <col min="17" max="17" width="0" hidden="1" customWidth="1"/>
    <col min="18" max="18" width="9.86328125" hidden="1" customWidth="1"/>
    <col min="19" max="19" width="12.59765625" hidden="1" customWidth="1"/>
    <col min="20" max="20" width="0" hidden="1" customWidth="1"/>
  </cols>
  <sheetData>
    <row r="1" spans="1:19" ht="16.149999999999999" thickBot="1" x14ac:dyDescent="0.5">
      <c r="A1" s="23" t="s">
        <v>19</v>
      </c>
      <c r="D1" s="237" t="str">
        <f>'Monthly Receipts Input'!D1</f>
        <v>JULY</v>
      </c>
      <c r="G1" s="24" t="s">
        <v>94</v>
      </c>
      <c r="Q1" s="354" t="s">
        <v>161</v>
      </c>
      <c r="R1" s="354"/>
      <c r="S1" s="413">
        <f>'Monthly Receipts Input'!S1</f>
        <v>0</v>
      </c>
    </row>
    <row r="2" spans="1:19" ht="14.65" thickBot="1" x14ac:dyDescent="0.5">
      <c r="R2" s="428">
        <f>'County One Time Input-GROWTH'!C6</f>
        <v>0.65</v>
      </c>
    </row>
    <row r="3" spans="1:19" s="29" customFormat="1" ht="43.15" thickBot="1" x14ac:dyDescent="0.5">
      <c r="A3" s="231" t="s">
        <v>21</v>
      </c>
      <c r="B3" s="232" t="s">
        <v>42</v>
      </c>
      <c r="C3" s="232" t="s">
        <v>22</v>
      </c>
      <c r="D3" s="233" t="str">
        <f>CONCATENATE("RECEIPTS THROUGH"," ",D1)</f>
        <v>RECEIPTS THROUGH JULY</v>
      </c>
      <c r="E3" s="234" t="s">
        <v>17</v>
      </c>
      <c r="F3" s="728" t="s">
        <v>358</v>
      </c>
      <c r="G3" s="234" t="s">
        <v>7</v>
      </c>
      <c r="H3" s="234" t="s">
        <v>8</v>
      </c>
      <c r="I3" s="234" t="s">
        <v>9</v>
      </c>
      <c r="J3" s="234" t="s">
        <v>10</v>
      </c>
      <c r="K3" s="234" t="s">
        <v>11</v>
      </c>
      <c r="L3" s="234" t="s">
        <v>12</v>
      </c>
      <c r="M3" s="234" t="s">
        <v>13</v>
      </c>
      <c r="N3" s="234" t="s">
        <v>14</v>
      </c>
      <c r="O3" s="234" t="s">
        <v>15</v>
      </c>
      <c r="P3" s="235" t="s">
        <v>16</v>
      </c>
      <c r="R3" s="412" t="s">
        <v>175</v>
      </c>
      <c r="S3" s="412" t="s">
        <v>173</v>
      </c>
    </row>
    <row r="4" spans="1:19" ht="5.25" customHeight="1" thickBot="1" x14ac:dyDescent="0.5">
      <c r="A4" s="30"/>
      <c r="B4" s="31"/>
      <c r="C4" s="44"/>
      <c r="D4" s="30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R4" s="382"/>
      <c r="S4" s="382"/>
    </row>
    <row r="5" spans="1:19" x14ac:dyDescent="0.45">
      <c r="A5" s="718" t="s">
        <v>83</v>
      </c>
      <c r="B5" s="8">
        <f>'County One Time Input-BASE'!C11</f>
        <v>0.62867065617841666</v>
      </c>
      <c r="C5" s="34">
        <f>(SUM('County Dist Support Svc Acct'!C5/12)*10)+(SUM('SMC Prior Year Receipts'!C5/12)*2)</f>
        <v>2243273360.2633748</v>
      </c>
      <c r="D5" s="35">
        <f>SUM(E5:P5)</f>
        <v>2309887657.6560502</v>
      </c>
      <c r="E5" s="148">
        <f>'SMC Prior Year Receipts'!O5</f>
        <v>236336919.15000001</v>
      </c>
      <c r="F5" s="148">
        <f>'SMC Prior Year Receipts'!P5+'SMC Prior Year Receipts'!S5</f>
        <v>156071504.98605001</v>
      </c>
      <c r="G5" s="148">
        <f>'County Dist Support Svc Acct'!E5</f>
        <v>173843667.94</v>
      </c>
      <c r="H5" s="148">
        <f>'County Dist Support Svc Acct'!F5</f>
        <v>174095104.50999999</v>
      </c>
      <c r="I5" s="148">
        <f>'County Dist Support Svc Acct'!G5</f>
        <v>227349571.69</v>
      </c>
      <c r="J5" s="148">
        <f>'County Dist Support Svc Acct'!H5</f>
        <v>173205060.75999999</v>
      </c>
      <c r="K5" s="148">
        <f>'County Dist Support Svc Acct'!I5</f>
        <v>182385063.77000001</v>
      </c>
      <c r="L5" s="148">
        <f>'County Dist Support Svc Acct'!J5</f>
        <v>269104147.74000001</v>
      </c>
      <c r="M5" s="148">
        <f>'County Dist Support Svc Acct'!K5</f>
        <v>169321404.22</v>
      </c>
      <c r="N5" s="148">
        <f>'County Dist Support Svc Acct'!L5</f>
        <v>144955747.83000001</v>
      </c>
      <c r="O5" s="148">
        <f>'County Dist Support Svc Acct'!M5</f>
        <v>233389672.75</v>
      </c>
      <c r="P5" s="149">
        <f>'County Dist Support Svc Acct'!N5</f>
        <v>169829792.31</v>
      </c>
      <c r="R5" s="430">
        <f>'Monthly Receipts Input'!R5</f>
        <v>0.45</v>
      </c>
      <c r="S5" s="414">
        <f>'Monthly Receipts Input'!S5</f>
        <v>0</v>
      </c>
    </row>
    <row r="6" spans="1:19" x14ac:dyDescent="0.45">
      <c r="A6" s="719" t="s">
        <v>84</v>
      </c>
      <c r="B6" s="8">
        <f>'County One Time Input-BASE'!C12</f>
        <v>0.3699083095569205</v>
      </c>
      <c r="C6" s="34">
        <f>(SUM('County Dist Support Svc Acct'!C6/12)*10)+(SUM('SMC Prior Year Receipts'!C6/12)*2)</f>
        <v>1312224274.7333333</v>
      </c>
      <c r="D6" s="36">
        <f>SUM(E6:P6)</f>
        <v>1398869623.3544998</v>
      </c>
      <c r="E6" s="148">
        <f>'SMC Prior Year Receipts'!O6</f>
        <v>134149673.45999999</v>
      </c>
      <c r="F6" s="148">
        <f>'SMC Prior Year Receipts'!P6+'SMC Prior Year Receipts'!S6</f>
        <v>136400528.4445</v>
      </c>
      <c r="G6" s="148">
        <f>'County Dist Support Svc Acct'!E6</f>
        <v>102256666.27</v>
      </c>
      <c r="H6" s="148">
        <f>'County Dist Support Svc Acct'!F6</f>
        <v>102405179.06999999</v>
      </c>
      <c r="I6" s="148">
        <f>'County Dist Support Svc Acct'!G6</f>
        <v>133860309.09</v>
      </c>
      <c r="J6" s="148">
        <f>'County Dist Support Svc Acct'!H6</f>
        <v>101879468.39</v>
      </c>
      <c r="K6" s="148">
        <f>'County Dist Support Svc Acct'!I6</f>
        <v>107301702.51000001</v>
      </c>
      <c r="L6" s="148">
        <f>'County Dist Support Svc Acct'!J6</f>
        <v>158522946.56999999</v>
      </c>
      <c r="M6" s="148">
        <f>'County Dist Support Svc Acct'!K6</f>
        <v>99585559.019999996</v>
      </c>
      <c r="N6" s="148">
        <f>'County Dist Support Svc Acct'!L6</f>
        <v>85193810.689999998</v>
      </c>
      <c r="O6" s="148">
        <f>'County Dist Support Svc Acct'!M6</f>
        <v>137427937.76999998</v>
      </c>
      <c r="P6" s="149">
        <f>'County Dist Support Svc Acct'!N6</f>
        <v>99885842.070000008</v>
      </c>
      <c r="R6" s="430">
        <f>'Monthly Receipts Input'!R6</f>
        <v>0.5</v>
      </c>
      <c r="S6" s="415">
        <f>'Monthly Receipts Input'!S6</f>
        <v>0</v>
      </c>
    </row>
    <row r="7" spans="1:19" ht="14.65" thickBot="1" x14ac:dyDescent="0.5">
      <c r="A7" s="720" t="s">
        <v>88</v>
      </c>
      <c r="B7" s="8">
        <f>'County One Time Input-BASE'!C13</f>
        <v>1.4210342646628175E-3</v>
      </c>
      <c r="C7" s="34">
        <f>(SUM('County Dist Support Svc Acct'!C7/12)*10)+(SUM('SMC Prior Year Receipts'!C7/12)*2)</f>
        <v>5104000</v>
      </c>
      <c r="D7" s="49">
        <f>SUM(E7:P7)</f>
        <v>5104000</v>
      </c>
      <c r="E7" s="148">
        <f>'SMC Prior Year Receipts'!O7</f>
        <v>425333.33</v>
      </c>
      <c r="F7" s="148">
        <f>'SMC Prior Year Receipts'!P7+'SMC Prior Year Receipts'!S7</f>
        <v>425333.37</v>
      </c>
      <c r="G7" s="148">
        <f>'County Dist Support Svc Acct'!E7</f>
        <v>425333.33</v>
      </c>
      <c r="H7" s="148">
        <f>'County Dist Support Svc Acct'!F7</f>
        <v>425333.33</v>
      </c>
      <c r="I7" s="148">
        <f>'County Dist Support Svc Acct'!G7</f>
        <v>425333.33</v>
      </c>
      <c r="J7" s="148">
        <f>'County Dist Support Svc Acct'!H7</f>
        <v>425333.33</v>
      </c>
      <c r="K7" s="148">
        <f>'County Dist Support Svc Acct'!I7</f>
        <v>425333.33</v>
      </c>
      <c r="L7" s="148">
        <f>'County Dist Support Svc Acct'!J7</f>
        <v>425333.33</v>
      </c>
      <c r="M7" s="148">
        <f>'County Dist Support Svc Acct'!K7</f>
        <v>425333.33</v>
      </c>
      <c r="N7" s="148">
        <f>'County Dist Support Svc Acct'!L7</f>
        <v>425333.33</v>
      </c>
      <c r="O7" s="148">
        <f>'County Dist Support Svc Acct'!M7</f>
        <v>425333.33</v>
      </c>
      <c r="P7" s="149">
        <f>'County Dist Support Svc Acct'!N7</f>
        <v>425333.33</v>
      </c>
      <c r="R7" s="431">
        <f>'Monthly Receipts Input'!R7</f>
        <v>0</v>
      </c>
      <c r="S7" s="416">
        <f>'Monthly Receipts Input'!S7</f>
        <v>0</v>
      </c>
    </row>
    <row r="8" spans="1:19" ht="14.65" thickBot="1" x14ac:dyDescent="0.5">
      <c r="A8" s="50" t="s">
        <v>24</v>
      </c>
      <c r="B8" s="51">
        <f>SUM(B5:B7)</f>
        <v>1</v>
      </c>
      <c r="C8" s="52">
        <f>SUM(C5:C7)</f>
        <v>3560601634.9967079</v>
      </c>
      <c r="D8" s="103">
        <f>SUM(E8:P8)+S8</f>
        <v>3713861281.0105495</v>
      </c>
      <c r="E8" s="53">
        <f t="shared" ref="E8:P8" si="0">SUM(E5:E7)</f>
        <v>370911925.94</v>
      </c>
      <c r="F8" s="53">
        <f t="shared" si="0"/>
        <v>292897366.80054998</v>
      </c>
      <c r="G8" s="53">
        <f t="shared" si="0"/>
        <v>276525667.53999996</v>
      </c>
      <c r="H8" s="53">
        <f t="shared" si="0"/>
        <v>276925616.90999997</v>
      </c>
      <c r="I8" s="53">
        <f t="shared" si="0"/>
        <v>361635214.10999995</v>
      </c>
      <c r="J8" s="53">
        <f t="shared" si="0"/>
        <v>275509862.47999996</v>
      </c>
      <c r="K8" s="53">
        <f t="shared" si="0"/>
        <v>290112099.61000001</v>
      </c>
      <c r="L8" s="53">
        <f t="shared" si="0"/>
        <v>428052427.63999999</v>
      </c>
      <c r="M8" s="53">
        <f t="shared" si="0"/>
        <v>269332296.56999999</v>
      </c>
      <c r="N8" s="53">
        <f t="shared" si="0"/>
        <v>230574891.85000002</v>
      </c>
      <c r="O8" s="53">
        <f t="shared" si="0"/>
        <v>371242943.84999996</v>
      </c>
      <c r="P8" s="54">
        <f t="shared" si="0"/>
        <v>270140967.70999998</v>
      </c>
      <c r="R8" s="429"/>
      <c r="S8" s="417">
        <f>SUM(S5:S7)</f>
        <v>0</v>
      </c>
    </row>
    <row r="9" spans="1:19" x14ac:dyDescent="0.45">
      <c r="A9" s="106"/>
      <c r="B9" s="107"/>
      <c r="C9" s="108"/>
      <c r="D9" s="121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</row>
    <row r="10" spans="1:19" x14ac:dyDescent="0.45">
      <c r="A10" s="106"/>
      <c r="B10" s="107"/>
      <c r="C10" s="108"/>
      <c r="D10" s="121"/>
      <c r="E10" s="110"/>
      <c r="F10" s="110"/>
      <c r="G10" s="24" t="str">
        <f>CONCATENATE('County One Time Input-BASE'!C2," County Receipts - SUPPORT SERVICES ACCOUNT")</f>
        <v>San Mateo County Receipts - SUPPORT SERVICES ACCOUNT</v>
      </c>
      <c r="H10" s="110"/>
      <c r="I10" s="110"/>
      <c r="J10" s="110"/>
      <c r="K10" s="110"/>
      <c r="L10" s="110"/>
      <c r="M10" s="110"/>
      <c r="N10" s="110"/>
      <c r="O10" s="110"/>
      <c r="P10" s="110"/>
    </row>
    <row r="11" spans="1:19" ht="14.65" thickBot="1" x14ac:dyDescent="0.5">
      <c r="A11" s="106"/>
      <c r="B11" s="107"/>
      <c r="C11" s="108"/>
      <c r="D11" s="127"/>
      <c r="E11" s="619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</row>
    <row r="12" spans="1:19" s="29" customFormat="1" ht="43.15" thickBot="1" x14ac:dyDescent="0.5">
      <c r="A12" s="699" t="s">
        <v>21</v>
      </c>
      <c r="B12" s="703" t="str">
        <f>CONCATENATE('County One Time Input-BASE'!C2," County % Distribution")</f>
        <v>San Mateo County % Distribution</v>
      </c>
      <c r="C12" s="26" t="str">
        <f>CONCATENATE('County One Time Input-BASE'!C2," County Portion")</f>
        <v>San Mateo County Portion</v>
      </c>
      <c r="D12" s="58" t="str">
        <f>CONCATENATE("RECEIPTS THROUGH"," ",D1)</f>
        <v>RECEIPTS THROUGH JULY</v>
      </c>
      <c r="E12" s="27" t="s">
        <v>17</v>
      </c>
      <c r="F12" s="729" t="s">
        <v>358</v>
      </c>
      <c r="G12" s="27" t="s">
        <v>7</v>
      </c>
      <c r="H12" s="27" t="s">
        <v>8</v>
      </c>
      <c r="I12" s="27" t="s">
        <v>9</v>
      </c>
      <c r="J12" s="27" t="s">
        <v>10</v>
      </c>
      <c r="K12" s="27" t="s">
        <v>11</v>
      </c>
      <c r="L12" s="27" t="s">
        <v>12</v>
      </c>
      <c r="M12" s="27" t="s">
        <v>13</v>
      </c>
      <c r="N12" s="27" t="s">
        <v>14</v>
      </c>
      <c r="O12" s="27" t="s">
        <v>15</v>
      </c>
      <c r="P12" s="28" t="s">
        <v>16</v>
      </c>
      <c r="R12" s="412" t="s">
        <v>175</v>
      </c>
      <c r="S12" s="412" t="s">
        <v>173</v>
      </c>
    </row>
    <row r="13" spans="1:19" ht="5.25" customHeight="1" thickBot="1" x14ac:dyDescent="0.5">
      <c r="A13" s="700"/>
      <c r="B13" s="700"/>
      <c r="C13" s="112"/>
      <c r="D13" s="111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4"/>
      <c r="R13" s="382"/>
      <c r="S13" s="382"/>
    </row>
    <row r="14" spans="1:19" x14ac:dyDescent="0.45">
      <c r="A14" s="701" t="s">
        <v>83</v>
      </c>
      <c r="B14" s="704">
        <f>'County One Time Input-BASE'!F11</f>
        <v>1.00915E-2</v>
      </c>
      <c r="C14" s="134">
        <f>(SUM('County Dist Support Svc Acct'!C14/12)*10)+(SUM('SMC Prior Year Receipts'!C14/12)*2)</f>
        <v>22633377.249426778</v>
      </c>
      <c r="D14" s="35">
        <f>SUM(E14:P14)</f>
        <v>23334040.280578025</v>
      </c>
      <c r="E14" s="721">
        <f>'SMC Prior Year Receipts'!O14</f>
        <v>2381977.0133934319</v>
      </c>
      <c r="F14" s="721">
        <f>'SMC Prior Year Receipts'!P14+'SMC Prior Year Receipts'!S14</f>
        <v>1601821.5870063214</v>
      </c>
      <c r="G14" s="721">
        <f>'County Dist Support Svc Acct'!E14</f>
        <v>1752124.14</v>
      </c>
      <c r="H14" s="721">
        <f>'County Dist Support Svc Acct'!F14</f>
        <v>1754658.3</v>
      </c>
      <c r="I14" s="721">
        <f>'County Dist Support Svc Acct'!G14</f>
        <v>2291395.9300000002</v>
      </c>
      <c r="J14" s="721">
        <f>'County Dist Support Svc Acct'!H14</f>
        <v>1751570.8506595399</v>
      </c>
      <c r="K14" s="721">
        <f>'County Dist Support Svc Acct'!I14</f>
        <v>1844210.8410349551</v>
      </c>
      <c r="L14" s="721">
        <f>'County Dist Support Svc Acct'!J14</f>
        <v>2715664.5069182101</v>
      </c>
      <c r="M14" s="143">
        <f>'County Dist Support Svc Acct'!K14</f>
        <v>1708706.95068613</v>
      </c>
      <c r="N14" s="143">
        <f>'County Dist Support Svc Acct'!L14</f>
        <v>1462820.929226445</v>
      </c>
      <c r="O14" s="143">
        <f>'County Dist Support Svc Acct'!M14</f>
        <v>2355251.8825566252</v>
      </c>
      <c r="P14" s="144">
        <f>'County Dist Support Svc Acct'!N14</f>
        <v>1713837.349096365</v>
      </c>
      <c r="R14" s="430"/>
      <c r="S14" s="144">
        <f>S19+S20+S21</f>
        <v>0</v>
      </c>
    </row>
    <row r="15" spans="1:19" x14ac:dyDescent="0.45">
      <c r="A15" s="722" t="s">
        <v>84</v>
      </c>
      <c r="B15" s="704">
        <f>'County One Time Input-BASE'!F12</f>
        <v>1.0260501999999999E-2</v>
      </c>
      <c r="C15" s="34">
        <f>(SUM('County Dist Support Svc Acct'!C15/12)*10)+(SUM('SMC Prior Year Receipts'!C15/12)*2)</f>
        <v>13464079.795349916</v>
      </c>
      <c r="D15" s="36">
        <f>SUM(E15:P15)</f>
        <v>14134590.623789942</v>
      </c>
      <c r="E15" s="620">
        <f>'SMC Prior Year Receipts'!O15</f>
        <v>1376442.9928356768</v>
      </c>
      <c r="F15" s="620">
        <f>'SMC Prior Year Receipts'!P15+'SMC Prior Year Receipts'!S15</f>
        <v>1181023.9505276987</v>
      </c>
      <c r="G15" s="620">
        <f>'County Dist Support Svc Acct'!E15</f>
        <v>1049204.7287766675</v>
      </c>
      <c r="H15" s="620">
        <f>'County Dist Support Svc Acct'!F15</f>
        <v>1050728.544658093</v>
      </c>
      <c r="I15" s="620">
        <f>'County Dist Support Svc Acct'!G15</f>
        <v>1373473.9691385631</v>
      </c>
      <c r="J15" s="620">
        <f>'County Dist Support Svc Acct'!H15</f>
        <v>1045334.4891745318</v>
      </c>
      <c r="K15" s="620">
        <f>'County Dist Support Svc Acct'!I15</f>
        <v>1100969.3332072601</v>
      </c>
      <c r="L15" s="620">
        <f>'County Dist Support Svc Acct'!J15</f>
        <v>1626525.0103273781</v>
      </c>
      <c r="M15" s="620">
        <f>'County Dist Support Svc Acct'!K15</f>
        <v>1021797.8274958279</v>
      </c>
      <c r="N15" s="620">
        <f>'County Dist Support Svc Acct'!L15</f>
        <v>874131.26497236628</v>
      </c>
      <c r="O15" s="620">
        <f>'County Dist Support Svc Acct'!M15</f>
        <v>1410079.6303449604</v>
      </c>
      <c r="P15" s="705">
        <f>'County Dist Support Svc Acct'!N15</f>
        <v>1024878.8823309192</v>
      </c>
      <c r="R15" s="430">
        <f>'County One Time Input-GROWTH'!F14</f>
        <v>8.0390113649218432E-3</v>
      </c>
      <c r="S15" s="145">
        <f>S6*R15</f>
        <v>0</v>
      </c>
    </row>
    <row r="16" spans="1:19" ht="14.65" thickBot="1" x14ac:dyDescent="0.5">
      <c r="A16" s="723" t="s">
        <v>88</v>
      </c>
      <c r="B16" s="704">
        <f>'County One Time Input-BASE'!F13</f>
        <v>0</v>
      </c>
      <c r="C16" s="135">
        <f>(SUM('County Dist Support Svc Acct'!C16/12)*10)+(SUM('SMC Prior Year Receipts'!C16/12)*2)</f>
        <v>0</v>
      </c>
      <c r="D16" s="49">
        <f>SUM(E16:P16)</f>
        <v>0</v>
      </c>
      <c r="E16" s="146">
        <f>'SMC Prior Year Receipts'!O16</f>
        <v>0</v>
      </c>
      <c r="F16" s="146">
        <f>'SMC Prior Year Receipts'!P16+'SMC Prior Year Receipts'!S16</f>
        <v>0</v>
      </c>
      <c r="G16" s="146">
        <f>'County Dist Support Svc Acct'!E16</f>
        <v>0</v>
      </c>
      <c r="H16" s="146">
        <f>'County Dist Support Svc Acct'!F16</f>
        <v>0</v>
      </c>
      <c r="I16" s="146">
        <f>'County Dist Support Svc Acct'!G16</f>
        <v>0</v>
      </c>
      <c r="J16" s="146">
        <f>'County Dist Support Svc Acct'!H16</f>
        <v>0</v>
      </c>
      <c r="K16" s="146">
        <f>'County Dist Support Svc Acct'!I16</f>
        <v>0</v>
      </c>
      <c r="L16" s="146">
        <f>'County Dist Support Svc Acct'!J16</f>
        <v>0</v>
      </c>
      <c r="M16" s="146">
        <f>'County Dist Support Svc Acct'!K16</f>
        <v>0</v>
      </c>
      <c r="N16" s="146">
        <f>'County Dist Support Svc Acct'!L16</f>
        <v>0</v>
      </c>
      <c r="O16" s="146">
        <f>'County Dist Support Svc Acct'!M16</f>
        <v>0</v>
      </c>
      <c r="P16" s="147">
        <f>'County Dist Support Svc Acct'!N16</f>
        <v>0</v>
      </c>
      <c r="R16" s="431"/>
      <c r="S16" s="147">
        <f>S7*R16</f>
        <v>0</v>
      </c>
    </row>
    <row r="17" spans="1:19" ht="14.65" thickBot="1" x14ac:dyDescent="0.5">
      <c r="A17" s="702" t="s">
        <v>109</v>
      </c>
      <c r="B17" s="706"/>
      <c r="C17" s="52">
        <f>SUM(C14:C16)</f>
        <v>36097457.044776693</v>
      </c>
      <c r="D17" s="103">
        <f>SUM(E17:P17)+S17</f>
        <v>37468630.904367968</v>
      </c>
      <c r="E17" s="53">
        <f t="shared" ref="E17:P17" si="1">SUM(E14:E16)</f>
        <v>3758420.0062291087</v>
      </c>
      <c r="F17" s="53">
        <f t="shared" si="1"/>
        <v>2782845.5375340199</v>
      </c>
      <c r="G17" s="53">
        <f t="shared" si="1"/>
        <v>2801328.8687766674</v>
      </c>
      <c r="H17" s="53">
        <f t="shared" si="1"/>
        <v>2805386.8446580931</v>
      </c>
      <c r="I17" s="53">
        <f t="shared" si="1"/>
        <v>3664869.8991385633</v>
      </c>
      <c r="J17" s="53">
        <f t="shared" si="1"/>
        <v>2796905.3398340717</v>
      </c>
      <c r="K17" s="53">
        <f t="shared" si="1"/>
        <v>2945180.1742422152</v>
      </c>
      <c r="L17" s="53">
        <f t="shared" si="1"/>
        <v>4342189.5172455879</v>
      </c>
      <c r="M17" s="53">
        <f t="shared" si="1"/>
        <v>2730504.778181958</v>
      </c>
      <c r="N17" s="53">
        <f t="shared" si="1"/>
        <v>2336952.1941988114</v>
      </c>
      <c r="O17" s="53">
        <f t="shared" si="1"/>
        <v>3765331.5129015855</v>
      </c>
      <c r="P17" s="54">
        <f t="shared" si="1"/>
        <v>2738716.231427284</v>
      </c>
      <c r="R17" s="429"/>
      <c r="S17" s="417">
        <f>SUM(S14:S16)</f>
        <v>0</v>
      </c>
    </row>
    <row r="18" spans="1:19" x14ac:dyDescent="0.45">
      <c r="A18" s="106"/>
      <c r="B18" s="107"/>
      <c r="C18" s="108"/>
      <c r="D18" s="109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</row>
    <row r="19" spans="1:19" x14ac:dyDescent="0.45">
      <c r="C19" s="60"/>
      <c r="R19" s="567" t="str">
        <f>'County One Time Input-GROWTH'!F35</f>
        <v>COUNTY PROTECTIVE SVC 90%</v>
      </c>
      <c r="S19" s="568">
        <f>'Monthly Receipts Input'!S29*'County One Time Input-GROWTH'!F11</f>
        <v>0</v>
      </c>
    </row>
    <row r="20" spans="1:19" x14ac:dyDescent="0.45">
      <c r="R20" s="567" t="str">
        <f>'County One Time Input-GROWTH'!F36</f>
        <v>COUNTY PROTECTIVE SVC 10%</v>
      </c>
      <c r="S20" s="568">
        <f>'Monthly Receipts Input'!S30*'County One Time Input-GROWTH'!F12</f>
        <v>0</v>
      </c>
    </row>
    <row r="21" spans="1:19" x14ac:dyDescent="0.45">
      <c r="A21" t="s">
        <v>40</v>
      </c>
      <c r="C21" s="39">
        <f>C14</f>
        <v>22633377.249426778</v>
      </c>
      <c r="D21" s="39"/>
      <c r="G21" s="24" t="str">
        <f>CONCATENATE('County One Time Input-BASE'!C2," County Distribution - SUPPORT SERVICES ACCOUNT")</f>
        <v>San Mateo County Distribution - SUPPORT SERVICES ACCOUNT</v>
      </c>
      <c r="R21" s="567">
        <f>'County One Time Input-GROWTH'!F37</f>
        <v>0</v>
      </c>
      <c r="S21" s="568">
        <f>'Monthly Receipts Input'!S31*'County One Time Input-GROWTH'!F13</f>
        <v>0</v>
      </c>
    </row>
    <row r="22" spans="1:19" ht="14.65" thickBot="1" x14ac:dyDescent="0.5"/>
    <row r="23" spans="1:19" ht="57.4" thickBot="1" x14ac:dyDescent="0.5">
      <c r="A23" s="316" t="s">
        <v>37</v>
      </c>
      <c r="B23" s="315" t="str">
        <f>CONCATENATE('County One Time Input-BASE'!C2," County % DIST (PROG/TOT PS)")</f>
        <v>San Mateo County % DIST (PROG/TOT PS)</v>
      </c>
      <c r="C23" s="315" t="str">
        <f>CONCATENATE('County One Time Input-BASE'!C2," County Distribution to Programs")</f>
        <v>San Mateo County Distribution to Programs</v>
      </c>
      <c r="D23" s="57" t="str">
        <f>D3</f>
        <v>RECEIPTS THROUGH JULY</v>
      </c>
      <c r="E23" s="27" t="s">
        <v>17</v>
      </c>
      <c r="F23" s="729" t="s">
        <v>358</v>
      </c>
      <c r="G23" s="27" t="s">
        <v>7</v>
      </c>
      <c r="H23" s="27" t="s">
        <v>8</v>
      </c>
      <c r="I23" s="27" t="s">
        <v>9</v>
      </c>
      <c r="J23" s="27" t="s">
        <v>10</v>
      </c>
      <c r="K23" s="27" t="s">
        <v>11</v>
      </c>
      <c r="L23" s="27" t="s">
        <v>12</v>
      </c>
      <c r="M23" s="27" t="s">
        <v>13</v>
      </c>
      <c r="N23" s="27" t="s">
        <v>14</v>
      </c>
      <c r="O23" s="27" t="s">
        <v>15</v>
      </c>
      <c r="P23" s="28" t="s">
        <v>16</v>
      </c>
      <c r="R23" s="412" t="s">
        <v>281</v>
      </c>
      <c r="S23" s="386" t="s">
        <v>172</v>
      </c>
    </row>
    <row r="24" spans="1:19" ht="6" customHeight="1" thickBot="1" x14ac:dyDescent="0.5">
      <c r="A24" s="40"/>
      <c r="B24" s="41"/>
      <c r="C24" s="41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  <c r="R24" s="589"/>
      <c r="S24" s="387"/>
    </row>
    <row r="25" spans="1:19" x14ac:dyDescent="0.45">
      <c r="A25" s="193" t="s">
        <v>32</v>
      </c>
      <c r="B25" s="252">
        <v>0.12984240599999999</v>
      </c>
      <c r="C25" s="253">
        <f>(SUM('County Dist Support Svc Acct'!C25/12)*10)+(SUM('SMC Prior Year Receipts'!C25/12)*2)</f>
        <v>2927330.2516344008</v>
      </c>
      <c r="D25" s="254">
        <f t="shared" ref="D25:D30" si="2">SUM(E25:P25)</f>
        <v>3004358.1073575984</v>
      </c>
      <c r="E25" s="255">
        <f>'SMC Prior Year Receipts'!O25</f>
        <v>309281.62645569741</v>
      </c>
      <c r="F25" s="255">
        <f>'SMC Prior Year Receipts'!P25+'SMC Prior Year Receipts'!S25</f>
        <v>194254.07322597073</v>
      </c>
      <c r="G25" s="255">
        <f>'County Dist Support Svc Acct'!E25</f>
        <v>226444.26786826315</v>
      </c>
      <c r="H25" s="255">
        <f>'County Dist Support Svc Acct'!F25</f>
        <v>226771.78233642239</v>
      </c>
      <c r="I25" s="255">
        <f>'County Dist Support Svc Acct'!G25</f>
        <v>296139.67522025469</v>
      </c>
      <c r="J25" s="255">
        <f>'County Dist Support Svc Acct'!H25</f>
        <v>226372.76083473768</v>
      </c>
      <c r="K25" s="255">
        <f>'County Dist Support Svc Acct'!I25</f>
        <v>238345.53965615373</v>
      </c>
      <c r="L25" s="255">
        <f>'County Dist Support Svc Acct'!J25</f>
        <v>350972.08411552501</v>
      </c>
      <c r="M25" s="255">
        <f>'County Dist Support Svc Acct'!K25</f>
        <v>220833.03666458995</v>
      </c>
      <c r="N25" s="255">
        <f>'County Dist Support Svc Acct'!L25</f>
        <v>189054.76317508801</v>
      </c>
      <c r="O25" s="255">
        <f>'County Dist Support Svc Acct'!M25</f>
        <v>304392.40919931821</v>
      </c>
      <c r="P25" s="256">
        <f>'County Dist Support Svc Acct'!N25</f>
        <v>221496.08860557753</v>
      </c>
      <c r="R25" s="591">
        <f>'County One Time Input-GROWTH'!F40</f>
        <v>0.12923985390000001</v>
      </c>
      <c r="S25" s="256">
        <f>S$19*R25</f>
        <v>0</v>
      </c>
    </row>
    <row r="26" spans="1:19" x14ac:dyDescent="0.45">
      <c r="A26" s="188" t="s">
        <v>33</v>
      </c>
      <c r="B26" s="257">
        <v>0.1535300077</v>
      </c>
      <c r="C26" s="258">
        <f>(SUM('County Dist Support Svc Acct'!C26/12)*10)+(SUM('SMC Prior Year Receipts'!C26/12)*2)</f>
        <v>3461373.2822116297</v>
      </c>
      <c r="D26" s="259">
        <f t="shared" si="2"/>
        <v>3552453.5973929102</v>
      </c>
      <c r="E26" s="260">
        <f>'SMC Prior Year Receipts'!O26</f>
        <v>365704.94920751662</v>
      </c>
      <c r="F26" s="260">
        <f>'SMC Prior Year Receipts'!P26+'SMC Prior Year Receipts'!S26</f>
        <v>229692.51939262162</v>
      </c>
      <c r="G26" s="260">
        <f>'County Dist Support Svc Acct'!E26</f>
        <v>267755.28245211212</v>
      </c>
      <c r="H26" s="260">
        <f>'County Dist Support Svc Acct'!F26</f>
        <v>268142.54652266984</v>
      </c>
      <c r="I26" s="260">
        <f>'County Dist Support Svc Acct'!G26</f>
        <v>350165.46512895497</v>
      </c>
      <c r="J26" s="260">
        <f>'County Dist Support Svc Acct'!H26</f>
        <v>267670.73014200432</v>
      </c>
      <c r="K26" s="260">
        <f>'County Dist Support Svc Acct'!I26</f>
        <v>281827.74460407905</v>
      </c>
      <c r="L26" s="260">
        <f>'County Dist Support Svc Acct'!J26</f>
        <v>415001.14089807653</v>
      </c>
      <c r="M26" s="260">
        <f>'County Dist Support Svc Acct'!K26</f>
        <v>261120.37484333271</v>
      </c>
      <c r="N26" s="260">
        <f>'County Dist Support Svc Acct'!L26</f>
        <v>223544.68050527966</v>
      </c>
      <c r="O26" s="260">
        <f>'County Dist Support Svc Acct'!M26</f>
        <v>359923.7740425276</v>
      </c>
      <c r="P26" s="261">
        <f>'County Dist Support Svc Acct'!N26</f>
        <v>261904.38965373556</v>
      </c>
      <c r="R26" s="592">
        <f>'County One Time Input-GROWTH'!F41</f>
        <v>0.15281752949999999</v>
      </c>
      <c r="S26" s="261">
        <f>S$19*R26</f>
        <v>0</v>
      </c>
    </row>
    <row r="27" spans="1:19" x14ac:dyDescent="0.45">
      <c r="A27" s="188" t="s">
        <v>34</v>
      </c>
      <c r="B27" s="257">
        <v>6.4870673300000001E-2</v>
      </c>
      <c r="C27" s="258">
        <f>(SUM('County Dist Support Svc Acct'!C27/12)*10)+(SUM('SMC Prior Year Receipts'!C27/12)*2)</f>
        <v>1462525.9200431686</v>
      </c>
      <c r="D27" s="259">
        <f t="shared" si="2"/>
        <v>1501009.8715938819</v>
      </c>
      <c r="E27" s="260">
        <f>'SMC Prior Year Receipts'!O27</f>
        <v>154520.45264395504</v>
      </c>
      <c r="F27" s="260">
        <f>'SMC Prior Year Receipts'!P27+'SMC Prior Year Receipts'!S27</f>
        <v>97051.440354826947</v>
      </c>
      <c r="G27" s="260">
        <f>'County Dist Support Svc Acct'!E27</f>
        <v>113134.01041247924</v>
      </c>
      <c r="H27" s="260">
        <f>'County Dist Support Svc Acct'!F27</f>
        <v>113297.64019034812</v>
      </c>
      <c r="I27" s="260">
        <f>'County Dist Support Svc Acct'!G27</f>
        <v>147954.591278979</v>
      </c>
      <c r="J27" s="260">
        <f>'County Dist Support Svc Acct'!H27</f>
        <v>113098.28472354221</v>
      </c>
      <c r="K27" s="260">
        <f>'County Dist Support Svc Acct'!I27</f>
        <v>119080.01478277431</v>
      </c>
      <c r="L27" s="260">
        <f>'County Dist Support Svc Acct'!J27</f>
        <v>175349.45703247093</v>
      </c>
      <c r="M27" s="260">
        <f>'County Dist Support Svc Acct'!K27</f>
        <v>110330.57848903348</v>
      </c>
      <c r="N27" s="260">
        <f>'County Dist Support Svc Acct'!L27</f>
        <v>94453.808643203331</v>
      </c>
      <c r="O27" s="260">
        <f>'County Dist Support Svc Acct'!M27</f>
        <v>152077.74661741295</v>
      </c>
      <c r="P27" s="261">
        <f>'County Dist Support Svc Acct'!N27</f>
        <v>110661.84642485663</v>
      </c>
      <c r="R27" s="592">
        <f>'County One Time Input-GROWTH'!F42</f>
        <v>6.4569631700000005E-2</v>
      </c>
      <c r="S27" s="261">
        <f>S$19*R27</f>
        <v>0</v>
      </c>
    </row>
    <row r="28" spans="1:19" x14ac:dyDescent="0.45">
      <c r="A28" s="188" t="s">
        <v>35</v>
      </c>
      <c r="B28" s="257">
        <v>1.15022006E-2</v>
      </c>
      <c r="C28" s="258">
        <f>(SUM('County Dist Support Svc Acct'!C28/12)*10)+(SUM('SMC Prior Year Receipts'!C28/12)*2)</f>
        <v>259320.05229012456</v>
      </c>
      <c r="D28" s="259">
        <f t="shared" si="2"/>
        <v>266143.63073881093</v>
      </c>
      <c r="E28" s="260">
        <f>'SMC Prior Year Receipts'!O28</f>
        <v>27397.977432640142</v>
      </c>
      <c r="F28" s="260">
        <f>'SMC Prior Year Receipts'!P28+'SMC Prior Year Receipts'!S28</f>
        <v>17208.163237611327</v>
      </c>
      <c r="G28" s="260">
        <f>'County Dist Support Svc Acct'!E28</f>
        <v>20059.758977674806</v>
      </c>
      <c r="H28" s="260">
        <f>'County Dist Support Svc Acct'!F28</f>
        <v>20088.77212671507</v>
      </c>
      <c r="I28" s="260">
        <f>'County Dist Support Svc Acct'!G28</f>
        <v>26233.7861963508</v>
      </c>
      <c r="J28" s="260">
        <f>'County Dist Support Svc Acct'!H28</f>
        <v>20053.424466003424</v>
      </c>
      <c r="K28" s="260">
        <f>'County Dist Support Svc Acct'!I28</f>
        <v>21114.043309269255</v>
      </c>
      <c r="L28" s="260">
        <f>'County Dist Support Svc Acct'!J28</f>
        <v>31091.161995522412</v>
      </c>
      <c r="M28" s="260">
        <f>'County Dist Support Svc Acct'!K28</f>
        <v>19562.683266404536</v>
      </c>
      <c r="N28" s="260">
        <f>'County Dist Support Svc Acct'!L28</f>
        <v>16747.577753127003</v>
      </c>
      <c r="O28" s="260">
        <f>'County Dist Support Svc Acct'!M28</f>
        <v>26964.861688282403</v>
      </c>
      <c r="P28" s="261">
        <f>'County Dist Support Svc Acct'!N28</f>
        <v>19621.42028920976</v>
      </c>
      <c r="R28" s="592">
        <f>'County One Time Input-GROWTH'!F43</f>
        <v>1.1448822900000001E-2</v>
      </c>
      <c r="S28" s="261">
        <f>S$19*R28</f>
        <v>0</v>
      </c>
    </row>
    <row r="29" spans="1:19" x14ac:dyDescent="0.45">
      <c r="A29" s="188" t="s">
        <v>30</v>
      </c>
      <c r="B29" s="257">
        <v>6.3742239899999997E-2</v>
      </c>
      <c r="C29" s="258">
        <f>(SUM('County Dist Support Svc Acct'!C29/12)*10)+(SUM('SMC Prior Year Receipts'!C29/12)*2)</f>
        <v>1437085.0955865229</v>
      </c>
      <c r="D29" s="259">
        <f t="shared" si="2"/>
        <v>1474899.6139391367</v>
      </c>
      <c r="E29" s="260">
        <f>'SMC Prior Year Receipts'!O29</f>
        <v>151832.55022400964</v>
      </c>
      <c r="F29" s="260">
        <f>'SMC Prior Year Receipts'!P29+'SMC Prior Year Receipts'!S29</f>
        <v>95363.218524477998</v>
      </c>
      <c r="G29" s="260">
        <f>'County Dist Support Svc Acct'!E29</f>
        <v>111166.02983480364</v>
      </c>
      <c r="H29" s="260">
        <f>'County Dist Support Svc Acct'!F29</f>
        <v>111326.81325176301</v>
      </c>
      <c r="I29" s="260">
        <f>'County Dist Support Svc Acct'!G29</f>
        <v>145380.90224459078</v>
      </c>
      <c r="J29" s="260">
        <f>'County Dist Support Svc Acct'!H29</f>
        <v>111130.92559879395</v>
      </c>
      <c r="K29" s="260">
        <f>'County Dist Support Svc Acct'!I29</f>
        <v>117008.60269875635</v>
      </c>
      <c r="L29" s="260">
        <f>'County Dist Support Svc Acct'!J29</f>
        <v>172299.23080529392</v>
      </c>
      <c r="M29" s="260">
        <f>'County Dist Support Svc Acct'!K29</f>
        <v>108411.36396814366</v>
      </c>
      <c r="N29" s="260">
        <f>'County Dist Support Svc Acct'!L29</f>
        <v>92810.772563958963</v>
      </c>
      <c r="O29" s="260">
        <f>'County Dist Support Svc Acct'!M29</f>
        <v>149432.33476868097</v>
      </c>
      <c r="P29" s="261">
        <f>'County Dist Support Svc Acct'!N29</f>
        <v>108736.86945586362</v>
      </c>
      <c r="R29" s="592">
        <f>'County One Time Input-GROWTH'!F44</f>
        <v>6.3446434699999998E-2</v>
      </c>
      <c r="S29" s="261">
        <f>S$19*R29</f>
        <v>0</v>
      </c>
    </row>
    <row r="30" spans="1:19" x14ac:dyDescent="0.45">
      <c r="A30" s="188" t="s">
        <v>36</v>
      </c>
      <c r="B30" s="257">
        <v>0.52579878999999996</v>
      </c>
      <c r="C30" s="258">
        <f>(SUM('County Dist Support Svc Acct'!C30/12)*10)+(SUM('SMC Prior Year Receipts'!C30/12)*2)</f>
        <v>11942389.714025944</v>
      </c>
      <c r="D30" s="259">
        <f t="shared" si="2"/>
        <v>12361737.083749758</v>
      </c>
      <c r="E30" s="260">
        <f>'SMC Prior Year Receipts'!O30</f>
        <v>1252440.6314500801</v>
      </c>
      <c r="F30" s="260">
        <f>'SMC Prior Year Receipts'!P30+'SMC Prior Year Receipts'!S30</f>
        <v>892380.66235814511</v>
      </c>
      <c r="G30" s="260">
        <f>'County Dist Support Svc Acct'!E30</f>
        <v>925120.47589778772</v>
      </c>
      <c r="H30" s="260">
        <f>'County Dist Support Svc Acct'!F30</f>
        <v>926458.51083017618</v>
      </c>
      <c r="I30" s="260">
        <f>'County Dist Support Svc Acct'!G30</f>
        <v>1209855.6516845056</v>
      </c>
      <c r="J30" s="260">
        <f>'County Dist Support Svc Acct'!H30</f>
        <v>924828.33946391859</v>
      </c>
      <c r="K30" s="260">
        <f>'County Dist Support Svc Acct'!I30</f>
        <v>973742.19780689571</v>
      </c>
      <c r="L30" s="260">
        <f>'County Dist Support Svc Acct'!J30</f>
        <v>1433869.2011965006</v>
      </c>
      <c r="M30" s="260">
        <f>'County Dist Support Svc Acct'!K30</f>
        <v>902196.22645494191</v>
      </c>
      <c r="N30" s="260">
        <f>'County Dist Support Svc Acct'!L30</f>
        <v>772368.55728682154</v>
      </c>
      <c r="O30" s="260">
        <f>'County Dist Support Svc Acct'!M30</f>
        <v>1243571.5556375734</v>
      </c>
      <c r="P30" s="261">
        <f>'County Dist Support Svc Acct'!N30</f>
        <v>904905.07368241169</v>
      </c>
      <c r="R30" s="592">
        <f>'County One Time Input-GROWTH'!F45</f>
        <v>0.52799938930000001</v>
      </c>
      <c r="S30" s="261">
        <f>(S$19*R30)+S20+S21</f>
        <v>0</v>
      </c>
    </row>
    <row r="31" spans="1:19" ht="15.75" outlineLevel="1" x14ac:dyDescent="0.5">
      <c r="A31" s="262"/>
      <c r="B31" s="263" t="s">
        <v>73</v>
      </c>
      <c r="C31" s="264"/>
      <c r="D31" s="265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7"/>
      <c r="R31" s="593"/>
      <c r="S31" s="267"/>
    </row>
    <row r="32" spans="1:19" outlineLevel="1" x14ac:dyDescent="0.45">
      <c r="A32" s="268" t="s">
        <v>48</v>
      </c>
      <c r="B32" s="269">
        <v>1.3092828E-3</v>
      </c>
      <c r="C32" s="264">
        <f>(SUM('County Dist Support Svc Acct'!C32/12)*10)+(SUM('SMC Prior Year Receipts'!C32/12)*2)</f>
        <v>15635.96544347109</v>
      </c>
      <c r="D32" s="265">
        <f t="shared" ref="D32:D44" si="3">SUM(E32:P32)</f>
        <v>16046.558519045702</v>
      </c>
      <c r="E32" s="266">
        <f>'SMC Prior Year Receipts'!O32</f>
        <v>1639.798976778729</v>
      </c>
      <c r="F32" s="266">
        <f>'SMC Prior Year Receipts'!P32+'SMC Prior Year Receipts'!S32</f>
        <v>1029.9274294481104</v>
      </c>
      <c r="G32" s="266">
        <f>'County Dist Support Svc Acct'!E32</f>
        <v>1211.244327020788</v>
      </c>
      <c r="H32" s="266">
        <f>'County Dist Support Svc Acct'!F32</f>
        <v>1212.9961931435635</v>
      </c>
      <c r="I32" s="266">
        <f>'County Dist Support Svc Acct'!G32</f>
        <v>1584.0431952333142</v>
      </c>
      <c r="J32" s="266">
        <f>'County Dist Support Svc Acct'!H32</f>
        <v>1210.8618378126698</v>
      </c>
      <c r="K32" s="266">
        <f>'County Dist Support Svc Acct'!I32</f>
        <v>1274.9039112227663</v>
      </c>
      <c r="L32" s="266">
        <f>'County Dist Support Svc Acct'!J32</f>
        <v>1877.3402825763176</v>
      </c>
      <c r="M32" s="266">
        <f>'County Dist Support Svc Acct'!K32</f>
        <v>1181.2300015223605</v>
      </c>
      <c r="N32" s="266">
        <f>'County Dist Support Svc Acct'!L32</f>
        <v>1011.2488673164501</v>
      </c>
      <c r="O32" s="266">
        <f>'County Dist Support Svc Acct'!M32</f>
        <v>1628.1868483655178</v>
      </c>
      <c r="P32" s="267">
        <f>'County Dist Support Svc Acct'!N32</f>
        <v>1184.7766486051144</v>
      </c>
      <c r="R32" s="594"/>
      <c r="S32" s="267">
        <f>(S$19*R$30)*B32</f>
        <v>0</v>
      </c>
    </row>
    <row r="33" spans="1:19" outlineLevel="1" x14ac:dyDescent="0.45">
      <c r="A33" s="268" t="s">
        <v>49</v>
      </c>
      <c r="B33" s="269">
        <v>6.9461881000000003E-3</v>
      </c>
      <c r="C33" s="264">
        <f>(SUM('County Dist Support Svc Acct'!C33/12)*10)+(SUM('SMC Prior Year Receipts'!C33/12)*2)</f>
        <v>82954.085317129429</v>
      </c>
      <c r="D33" s="265">
        <f t="shared" si="3"/>
        <v>85132.420460231267</v>
      </c>
      <c r="E33" s="266">
        <f>'SMC Prior Year Receipts'!O33</f>
        <v>8699.6882101350329</v>
      </c>
      <c r="F33" s="266">
        <f>'SMC Prior Year Receipts'!P33+'SMC Prior Year Receipts'!S33</f>
        <v>5464.1133713022537</v>
      </c>
      <c r="G33" s="266">
        <f>'County Dist Support Svc Acct'!E33</f>
        <v>6426.0608407475502</v>
      </c>
      <c r="H33" s="266">
        <f>'County Dist Support Svc Acct'!F33</f>
        <v>6435.3550830722916</v>
      </c>
      <c r="I33" s="266">
        <f>'County Dist Support Svc Acct'!G33</f>
        <v>8403.8849304486575</v>
      </c>
      <c r="J33" s="266">
        <f>'County Dist Support Svc Acct'!H33</f>
        <v>6424.0316061270323</v>
      </c>
      <c r="K33" s="266">
        <f>'County Dist Support Svc Acct'!I33</f>
        <v>6763.7964668741051</v>
      </c>
      <c r="L33" s="266">
        <f>'County Dist Support Svc Acct'!J33</f>
        <v>9959.9251823076393</v>
      </c>
      <c r="M33" s="266">
        <f>'County Dist Support Svc Acct'!K33</f>
        <v>6266.8246920662232</v>
      </c>
      <c r="N33" s="266">
        <f>'County Dist Support Svc Acct'!L33</f>
        <v>5365.0172814398884</v>
      </c>
      <c r="O33" s="266">
        <f>'County Dist Support Svc Acct'!M33</f>
        <v>8638.0819412682013</v>
      </c>
      <c r="P33" s="267">
        <f>'County Dist Support Svc Acct'!N33</f>
        <v>6285.6408544423912</v>
      </c>
      <c r="R33" s="594"/>
      <c r="S33" s="267">
        <f t="shared" ref="S33:S43" si="4">(S$19*R$30)*B33</f>
        <v>0</v>
      </c>
    </row>
    <row r="34" spans="1:19" outlineLevel="1" x14ac:dyDescent="0.45">
      <c r="A34" s="268" t="s">
        <v>50</v>
      </c>
      <c r="B34" s="269">
        <v>7.7863254999999999E-3</v>
      </c>
      <c r="C34" s="264">
        <f>(SUM('County Dist Support Svc Acct'!C34/12)*10)+(SUM('SMC Prior Year Receipts'!C34/12)*2)</f>
        <v>92987.333561257939</v>
      </c>
      <c r="D34" s="265">
        <f t="shared" si="3"/>
        <v>95429.137069613818</v>
      </c>
      <c r="E34" s="266">
        <f>'SMC Prior Year Receipts'!O34</f>
        <v>9751.9104258958596</v>
      </c>
      <c r="F34" s="266">
        <f>'SMC Prior Year Receipts'!P34+'SMC Prior Year Receipts'!S34</f>
        <v>6124.9946971435602</v>
      </c>
      <c r="G34" s="266">
        <f>'County Dist Support Svc Acct'!E34</f>
        <v>7203.2891520550802</v>
      </c>
      <c r="H34" s="266">
        <f>'County Dist Support Svc Acct'!F34</f>
        <v>7213.7075275690268</v>
      </c>
      <c r="I34" s="266">
        <f>'County Dist Support Svc Acct'!G34</f>
        <v>9420.3299120301836</v>
      </c>
      <c r="J34" s="266">
        <f>'County Dist Support Svc Acct'!H34</f>
        <v>7201.0144826905653</v>
      </c>
      <c r="K34" s="266">
        <f>'County Dist Support Svc Acct'!I34</f>
        <v>7581.8737052098759</v>
      </c>
      <c r="L34" s="266">
        <f>'County Dist Support Svc Acct'!J34</f>
        <v>11164.572324940942</v>
      </c>
      <c r="M34" s="266">
        <f>'County Dist Support Svc Acct'!K34</f>
        <v>7024.7934840498883</v>
      </c>
      <c r="N34" s="266">
        <f>'County Dist Support Svc Acct'!L34</f>
        <v>6013.9129930005893</v>
      </c>
      <c r="O34" s="266">
        <f>'County Dist Support Svc Acct'!M34</f>
        <v>9682.8529147355057</v>
      </c>
      <c r="P34" s="267">
        <f>'County Dist Support Svc Acct'!N34</f>
        <v>7045.8854502927406</v>
      </c>
      <c r="R34" s="594"/>
      <c r="S34" s="267">
        <f t="shared" si="4"/>
        <v>0</v>
      </c>
    </row>
    <row r="35" spans="1:19" outlineLevel="1" x14ac:dyDescent="0.45">
      <c r="A35" s="268" t="s">
        <v>51</v>
      </c>
      <c r="B35" s="269">
        <v>1.2115598700000001E-2</v>
      </c>
      <c r="C35" s="264">
        <f>(SUM('County Dist Support Svc Acct'!C35/12)*10)+(SUM('SMC Prior Year Receipts'!C35/12)*2)</f>
        <v>144689.20129414613</v>
      </c>
      <c r="D35" s="265">
        <f t="shared" si="3"/>
        <v>148488.67145648293</v>
      </c>
      <c r="E35" s="266">
        <f>'SMC Prior Year Receipts'!O35</f>
        <v>15174.06808622377</v>
      </c>
      <c r="F35" s="266">
        <f>'SMC Prior Year Receipts'!P35+'SMC Prior Year Receipts'!S35</f>
        <v>9530.5517076340329</v>
      </c>
      <c r="G35" s="266">
        <f>'County Dist Support Svc Acct'!E35</f>
        <v>11208.388435130619</v>
      </c>
      <c r="H35" s="266">
        <f>'County Dist Support Svc Acct'!F35</f>
        <v>11224.599529418019</v>
      </c>
      <c r="I35" s="266">
        <f>'County Dist Support Svc Acct'!G35</f>
        <v>14658.125560736449</v>
      </c>
      <c r="J35" s="266">
        <f>'County Dist Support Svc Acct'!H35</f>
        <v>11204.849027332211</v>
      </c>
      <c r="K35" s="266">
        <f>'County Dist Support Svc Acct'!I35</f>
        <v>11797.469705884369</v>
      </c>
      <c r="L35" s="266">
        <f>'County Dist Support Svc Acct'!J35</f>
        <v>17372.183829986363</v>
      </c>
      <c r="M35" s="266">
        <f>'County Dist Support Svc Acct'!K35</f>
        <v>10930.647428382401</v>
      </c>
      <c r="N35" s="266">
        <f>'County Dist Support Svc Acct'!L35</f>
        <v>9357.7074885850907</v>
      </c>
      <c r="O35" s="266">
        <f>'County Dist Support Svc Acct'!M35</f>
        <v>15066.613922839562</v>
      </c>
      <c r="P35" s="267">
        <f>'County Dist Support Svc Acct'!N35</f>
        <v>10963.466734330032</v>
      </c>
      <c r="R35" s="594"/>
      <c r="S35" s="267">
        <f t="shared" si="4"/>
        <v>0</v>
      </c>
    </row>
    <row r="36" spans="1:19" outlineLevel="1" x14ac:dyDescent="0.45">
      <c r="A36" s="268" t="s">
        <v>52</v>
      </c>
      <c r="B36" s="269">
        <v>9.1542360000000005E-4</v>
      </c>
      <c r="C36" s="264">
        <f>(SUM('County Dist Support Svc Acct'!C36/12)*10)+(SUM('SMC Prior Year Receipts'!C36/12)*2)</f>
        <v>10932.345384616603</v>
      </c>
      <c r="D36" s="265">
        <f t="shared" si="3"/>
        <v>11219.423616590308</v>
      </c>
      <c r="E36" s="266">
        <f>'SMC Prior Year Receipts'!O36</f>
        <v>1146.5137116283056</v>
      </c>
      <c r="F36" s="266">
        <f>'SMC Prior Year Receipts'!P36+'SMC Prior Year Receipts'!S36</f>
        <v>720.10407163688024</v>
      </c>
      <c r="G36" s="266">
        <f>'County Dist Support Svc Acct'!E36</f>
        <v>846.87711648006609</v>
      </c>
      <c r="H36" s="266">
        <f>'County Dist Support Svc Acct'!F36</f>
        <v>848.10198523479892</v>
      </c>
      <c r="I36" s="266">
        <f>'County Dist Support Svc Acct'!G36</f>
        <v>1107.5304161453762</v>
      </c>
      <c r="J36" s="266">
        <f>'County Dist Support Svc Acct'!H36</f>
        <v>846.60968789408241</v>
      </c>
      <c r="K36" s="266">
        <f>'County Dist Support Svc Acct'!I36</f>
        <v>891.38658818830061</v>
      </c>
      <c r="L36" s="266">
        <f>'County Dist Support Svc Acct'!J36</f>
        <v>1312.597706088425</v>
      </c>
      <c r="M36" s="266">
        <f>'County Dist Support Svc Acct'!K36</f>
        <v>825.89171752779816</v>
      </c>
      <c r="N36" s="266">
        <f>'County Dist Support Svc Acct'!L36</f>
        <v>707.0444052383084</v>
      </c>
      <c r="O36" s="266">
        <f>'County Dist Support Svc Acct'!M36</f>
        <v>1138.3947503193478</v>
      </c>
      <c r="P36" s="267">
        <f>'County Dist Support Svc Acct'!N36</f>
        <v>828.3714602086186</v>
      </c>
      <c r="R36" s="594"/>
      <c r="S36" s="267">
        <f t="shared" si="4"/>
        <v>0</v>
      </c>
    </row>
    <row r="37" spans="1:19" outlineLevel="1" x14ac:dyDescent="0.45">
      <c r="A37" s="268" t="s">
        <v>53</v>
      </c>
      <c r="B37" s="269">
        <v>1.1515449999999999E-3</v>
      </c>
      <c r="C37" s="264">
        <f>(SUM('County Dist Support Svc Acct'!C37/12)*10)+(SUM('SMC Prior Year Receipts'!C37/12)*2)</f>
        <v>13752.199163238007</v>
      </c>
      <c r="D37" s="265">
        <f t="shared" si="3"/>
        <v>14113.325425045285</v>
      </c>
      <c r="E37" s="266">
        <f>'SMC Prior Year Receipts'!O37</f>
        <v>1442.2417469431823</v>
      </c>
      <c r="F37" s="266">
        <f>'SMC Prior Year Receipts'!P37+'SMC Prior Year Receipts'!S37</f>
        <v>905.84538477388082</v>
      </c>
      <c r="G37" s="266">
        <f>'County Dist Support Svc Acct'!E37</f>
        <v>1065.3178584177178</v>
      </c>
      <c r="H37" s="266">
        <f>'County Dist Support Svc Acct'!F37</f>
        <v>1066.8586658539352</v>
      </c>
      <c r="I37" s="266">
        <f>'County Dist Support Svc Acct'!G37</f>
        <v>1393.2032264190339</v>
      </c>
      <c r="J37" s="266">
        <f>'County Dist Support Svc Acct'!H37</f>
        <v>1064.981450167978</v>
      </c>
      <c r="K37" s="266">
        <f>'County Dist Support Svc Acct'!I37</f>
        <v>1121.3079591735416</v>
      </c>
      <c r="L37" s="266">
        <f>'County Dist Support Svc Acct'!J37</f>
        <v>1651.1649092918242</v>
      </c>
      <c r="M37" s="266">
        <f>'County Dist Support Svc Acct'!K37</f>
        <v>1038.919553593056</v>
      </c>
      <c r="N37" s="266">
        <f>'County Dist Support Svc Acct'!L37</f>
        <v>889.41715030085288</v>
      </c>
      <c r="O37" s="266">
        <f>'County Dist Support Svc Acct'!M37</f>
        <v>1432.0286070366692</v>
      </c>
      <c r="P37" s="267">
        <f>'County Dist Support Svc Acct'!N37</f>
        <v>1042.0389130736128</v>
      </c>
      <c r="R37" s="594"/>
      <c r="S37" s="267">
        <f t="shared" si="4"/>
        <v>0</v>
      </c>
    </row>
    <row r="38" spans="1:19" outlineLevel="1" x14ac:dyDescent="0.45">
      <c r="A38" s="268" t="s">
        <v>54</v>
      </c>
      <c r="B38" s="269">
        <v>0</v>
      </c>
      <c r="C38" s="264">
        <f>(SUM('County Dist Support Svc Acct'!C38/12)*10)+(SUM('SMC Prior Year Receipts'!C38/12)*2)</f>
        <v>0</v>
      </c>
      <c r="D38" s="265">
        <f t="shared" si="3"/>
        <v>0</v>
      </c>
      <c r="E38" s="266">
        <f>'SMC Prior Year Receipts'!O38</f>
        <v>0</v>
      </c>
      <c r="F38" s="266">
        <f>'SMC Prior Year Receipts'!P38+'SMC Prior Year Receipts'!S38</f>
        <v>0</v>
      </c>
      <c r="G38" s="266">
        <f>'County Dist Support Svc Acct'!E38</f>
        <v>0</v>
      </c>
      <c r="H38" s="266">
        <f>'County Dist Support Svc Acct'!F38</f>
        <v>0</v>
      </c>
      <c r="I38" s="266">
        <f>'County Dist Support Svc Acct'!G38</f>
        <v>0</v>
      </c>
      <c r="J38" s="266">
        <f>'County Dist Support Svc Acct'!H38</f>
        <v>0</v>
      </c>
      <c r="K38" s="266">
        <f>'County Dist Support Svc Acct'!I38</f>
        <v>0</v>
      </c>
      <c r="L38" s="266">
        <f>'County Dist Support Svc Acct'!J38</f>
        <v>0</v>
      </c>
      <c r="M38" s="266">
        <f>'County Dist Support Svc Acct'!K38</f>
        <v>0</v>
      </c>
      <c r="N38" s="266">
        <f>'County Dist Support Svc Acct'!L38</f>
        <v>0</v>
      </c>
      <c r="O38" s="266">
        <f>'County Dist Support Svc Acct'!M38</f>
        <v>0</v>
      </c>
      <c r="P38" s="267">
        <f>'County Dist Support Svc Acct'!N38</f>
        <v>0</v>
      </c>
      <c r="R38" s="594"/>
      <c r="S38" s="267">
        <f t="shared" si="4"/>
        <v>0</v>
      </c>
    </row>
    <row r="39" spans="1:19" outlineLevel="1" x14ac:dyDescent="0.45">
      <c r="A39" s="268" t="s">
        <v>55</v>
      </c>
      <c r="B39" s="269">
        <v>6.0671291000000002E-2</v>
      </c>
      <c r="C39" s="264">
        <f>(SUM('County Dist Support Svc Acct'!C39/12)*10)+(SUM('SMC Prior Year Receipts'!C39/12)*2)</f>
        <v>724560.20157507504</v>
      </c>
      <c r="D39" s="265">
        <f t="shared" si="3"/>
        <v>743586.81062452728</v>
      </c>
      <c r="E39" s="266">
        <f>'SMC Prior Year Receipts'!O39</f>
        <v>75987.190010931561</v>
      </c>
      <c r="F39" s="266">
        <f>'SMC Prior Year Receipts'!P39+'SMC Prior Year Receipts'!S39</f>
        <v>47726.149599558077</v>
      </c>
      <c r="G39" s="266">
        <f>'County Dist Support Svc Acct'!E39</f>
        <v>56128.253603253164</v>
      </c>
      <c r="H39" s="266">
        <f>'County Dist Support Svc Acct'!F39</f>
        <v>56209.433910004271</v>
      </c>
      <c r="I39" s="266">
        <f>'County Dist Support Svc Acct'!G39</f>
        <v>73403.504311345285</v>
      </c>
      <c r="J39" s="266">
        <f>'County Dist Support Svc Acct'!H39</f>
        <v>56110.52930866219</v>
      </c>
      <c r="K39" s="266">
        <f>'County Dist Support Svc Acct'!I39</f>
        <v>59078.196242121732</v>
      </c>
      <c r="L39" s="266">
        <f>'County Dist Support Svc Acct'!J39</f>
        <v>86994.695561730434</v>
      </c>
      <c r="M39" s="266">
        <f>'County Dist Support Svc Acct'!K39</f>
        <v>54737.409794349682</v>
      </c>
      <c r="N39" s="266">
        <f>'County Dist Support Svc Acct'!L39</f>
        <v>46860.597498398922</v>
      </c>
      <c r="O39" s="266">
        <f>'County Dist Support Svc Acct'!M39</f>
        <v>75449.091731409906</v>
      </c>
      <c r="P39" s="267">
        <f>'County Dist Support Svc Acct'!N39</f>
        <v>54901.759052762041</v>
      </c>
      <c r="R39" s="594"/>
      <c r="S39" s="267">
        <f t="shared" si="4"/>
        <v>0</v>
      </c>
    </row>
    <row r="40" spans="1:19" outlineLevel="1" x14ac:dyDescent="0.45">
      <c r="A40" s="268" t="s">
        <v>56</v>
      </c>
      <c r="B40" s="269">
        <v>0.12967450189999999</v>
      </c>
      <c r="C40" s="264">
        <f>(SUM('County Dist Support Svc Acct'!C40/12)*10)+(SUM('SMC Prior Year Receipts'!C40/12)*2)</f>
        <v>1548623.4376619977</v>
      </c>
      <c r="D40" s="265">
        <f t="shared" si="3"/>
        <v>1589289.5585021453</v>
      </c>
      <c r="E40" s="266">
        <f>'SMC Prior Year Receipts'!O40</f>
        <v>162409.61504261059</v>
      </c>
      <c r="F40" s="266">
        <f>'SMC Prior Year Receipts'!P40+'SMC Prior Year Receipts'!S40</f>
        <v>102006.47744462165</v>
      </c>
      <c r="G40" s="266">
        <f>'County Dist Support Svc Acct'!E40</f>
        <v>119964.53690953656</v>
      </c>
      <c r="H40" s="266">
        <f>'County Dist Support Svc Acct'!F40</f>
        <v>120138.04592291884</v>
      </c>
      <c r="I40" s="266">
        <f>'County Dist Support Svc Acct'!G40</f>
        <v>156887.42900308815</v>
      </c>
      <c r="J40" s="266">
        <f>'County Dist Support Svc Acct'!H40</f>
        <v>119926.65426298775</v>
      </c>
      <c r="K40" s="266">
        <f>'County Dist Support Svc Acct'!I40</f>
        <v>126269.53447962046</v>
      </c>
      <c r="L40" s="266">
        <f>'County Dist Support Svc Acct'!J40</f>
        <v>185936.27445490708</v>
      </c>
      <c r="M40" s="266">
        <f>'County Dist Support Svc Acct'!K40</f>
        <v>116991.84628160419</v>
      </c>
      <c r="N40" s="266">
        <f>'County Dist Support Svc Acct'!L40</f>
        <v>100156.50794939019</v>
      </c>
      <c r="O40" s="266">
        <f>'County Dist Support Svc Acct'!M40</f>
        <v>161259.52205431045</v>
      </c>
      <c r="P40" s="267">
        <f>'County Dist Support Svc Acct'!N40</f>
        <v>117343.11469654953</v>
      </c>
      <c r="R40" s="594"/>
      <c r="S40" s="267">
        <f t="shared" si="4"/>
        <v>0</v>
      </c>
    </row>
    <row r="41" spans="1:19" outlineLevel="1" x14ac:dyDescent="0.45">
      <c r="A41" s="268" t="s">
        <v>57</v>
      </c>
      <c r="B41" s="269">
        <v>9.6890799999999999E-4</v>
      </c>
      <c r="C41" s="264">
        <f>(SUM('County Dist Support Svc Acct'!C41/12)*10)+(SUM('SMC Prior Year Receipts'!C41/12)*2)</f>
        <v>11571.076933037451</v>
      </c>
      <c r="D41" s="265">
        <f t="shared" si="3"/>
        <v>11874.927954122311</v>
      </c>
      <c r="E41" s="266">
        <f>'SMC Prior Year Receipts'!O41</f>
        <v>1213.4997473370343</v>
      </c>
      <c r="F41" s="266">
        <f>'SMC Prior Year Receipts'!P41+'SMC Prior Year Receipts'!S41</f>
        <v>762.1767625846071</v>
      </c>
      <c r="G41" s="266">
        <f>'County Dist Support Svc Acct'!E41</f>
        <v>896.35663006117375</v>
      </c>
      <c r="H41" s="266">
        <f>'County Dist Support Svc Acct'!F41</f>
        <v>897.65306281144433</v>
      </c>
      <c r="I41" s="266">
        <f>'County Dist Support Svc Acct'!G41</f>
        <v>1172.2388197623309</v>
      </c>
      <c r="J41" s="266">
        <f>'County Dist Support Svc Acct'!H41</f>
        <v>896.07357673330637</v>
      </c>
      <c r="K41" s="266">
        <f>'County Dist Support Svc Acct'!I41</f>
        <v>943.46660539268373</v>
      </c>
      <c r="L41" s="266">
        <f>'County Dist Support Svc Acct'!J41</f>
        <v>1389.287339992899</v>
      </c>
      <c r="M41" s="266">
        <f>'County Dist Support Svc Acct'!K41</f>
        <v>874.14514138200479</v>
      </c>
      <c r="N41" s="266">
        <f>'County Dist Support Svc Acct'!L41</f>
        <v>748.35407410365963</v>
      </c>
      <c r="O41" s="266">
        <f>'County Dist Support Svc Acct'!M41</f>
        <v>1204.90642882969</v>
      </c>
      <c r="P41" s="267">
        <f>'County Dist Support Svc Acct'!N41</f>
        <v>876.76976513147815</v>
      </c>
      <c r="R41" s="594"/>
      <c r="S41" s="267">
        <f t="shared" si="4"/>
        <v>0</v>
      </c>
    </row>
    <row r="42" spans="1:19" outlineLevel="1" x14ac:dyDescent="0.45">
      <c r="A42" s="268" t="s">
        <v>58</v>
      </c>
      <c r="B42" s="269">
        <v>1.2224697099999999E-2</v>
      </c>
      <c r="C42" s="264">
        <f>(SUM('County Dist Support Svc Acct'!C42/12)*10)+(SUM('SMC Prior Year Receipts'!C42/12)*2)</f>
        <v>145992.09690412279</v>
      </c>
      <c r="D42" s="265">
        <f t="shared" si="3"/>
        <v>149825.78049047786</v>
      </c>
      <c r="E42" s="266">
        <f>'SMC Prior Year Receipts'!O42</f>
        <v>15310.707355209961</v>
      </c>
      <c r="F42" s="266">
        <f>'SMC Prior Year Receipts'!P42+'SMC Prior Year Receipts'!S42</f>
        <v>9616.3723070254709</v>
      </c>
      <c r="G42" s="266">
        <f>'County Dist Support Svc Acct'!E42</f>
        <v>11309.317598858304</v>
      </c>
      <c r="H42" s="266">
        <f>'County Dist Support Svc Acct'!F42</f>
        <v>11325.674670615972</v>
      </c>
      <c r="I42" s="266">
        <f>'County Dist Support Svc Acct'!G42</f>
        <v>14790.118876566185</v>
      </c>
      <c r="J42" s="266">
        <f>'County Dist Support Svc Acct'!H42</f>
        <v>11305.74631944238</v>
      </c>
      <c r="K42" s="266">
        <f>'County Dist Support Svc Acct'!I42</f>
        <v>11903.703421677583</v>
      </c>
      <c r="L42" s="266">
        <f>'County Dist Support Svc Acct'!J42</f>
        <v>17528.616665646176</v>
      </c>
      <c r="M42" s="266">
        <f>'County Dist Support Svc Acct'!K42</f>
        <v>11029.075593174672</v>
      </c>
      <c r="N42" s="266">
        <f>'County Dist Support Svc Acct'!L42</f>
        <v>9441.97166239539</v>
      </c>
      <c r="O42" s="266">
        <f>'County Dist Support Svc Acct'!M42</f>
        <v>15202.285589845131</v>
      </c>
      <c r="P42" s="267">
        <f>'County Dist Support Svc Acct'!N42</f>
        <v>11062.190430020664</v>
      </c>
      <c r="R42" s="594"/>
      <c r="S42" s="267">
        <f t="shared" si="4"/>
        <v>0</v>
      </c>
    </row>
    <row r="43" spans="1:19" outlineLevel="1" x14ac:dyDescent="0.45">
      <c r="A43" s="268" t="s">
        <v>59</v>
      </c>
      <c r="B43" s="269">
        <v>0.14302865340000001</v>
      </c>
      <c r="C43" s="264">
        <f>(SUM('County Dist Support Svc Acct'!C43/12)*10)+(SUM('SMC Prior Year Receipts'!C43/12)*2)</f>
        <v>1708103.9191751424</v>
      </c>
      <c r="D43" s="265">
        <f t="shared" si="3"/>
        <v>1752957.9222177248</v>
      </c>
      <c r="E43" s="266">
        <f>'SMC Prior Year Receipts'!O43</f>
        <v>179134.89697975066</v>
      </c>
      <c r="F43" s="266">
        <f>'SMC Prior Year Receipts'!P43+'SMC Prior Year Receipts'!S43</f>
        <v>112511.31790143943</v>
      </c>
      <c r="G43" s="266">
        <f>'County Dist Support Svc Acct'!E43</f>
        <v>132318.73590042774</v>
      </c>
      <c r="H43" s="266">
        <f>'County Dist Support Svc Acct'!F43</f>
        <v>132510.11323500943</v>
      </c>
      <c r="I43" s="266">
        <f>'County Dist Support Svc Acct'!G43</f>
        <v>173044.02466881429</v>
      </c>
      <c r="J43" s="266">
        <f>'County Dist Support Svc Acct'!H43</f>
        <v>132276.95201968236</v>
      </c>
      <c r="K43" s="266">
        <f>'County Dist Support Svc Acct'!I43</f>
        <v>139273.03531107673</v>
      </c>
      <c r="L43" s="266">
        <f>'County Dist Support Svc Acct'!J43</f>
        <v>205084.38099886916</v>
      </c>
      <c r="M43" s="266">
        <f>'County Dist Support Svc Acct'!K43</f>
        <v>129039.91137241181</v>
      </c>
      <c r="N43" s="266">
        <f>'County Dist Support Svc Acct'!L43</f>
        <v>110470.83467723485</v>
      </c>
      <c r="O43" s="266">
        <f>'County Dist Support Svc Acct'!M43</f>
        <v>177866.36500938531</v>
      </c>
      <c r="P43" s="267">
        <f>'County Dist Support Svc Acct'!N43</f>
        <v>129427.35414362313</v>
      </c>
      <c r="R43" s="594"/>
      <c r="S43" s="267">
        <f t="shared" si="4"/>
        <v>0</v>
      </c>
    </row>
    <row r="44" spans="1:19" outlineLevel="1" x14ac:dyDescent="0.45">
      <c r="A44" s="268" t="s">
        <v>60</v>
      </c>
      <c r="B44" s="269">
        <v>0.62320758489999994</v>
      </c>
      <c r="C44" s="264">
        <f>(SUM('County Dist Support Svc Acct'!C44/12)*10)+(SUM('SMC Prior Year Receipts'!C44/12)*2)</f>
        <v>7442587.8516127113</v>
      </c>
      <c r="D44" s="265">
        <f t="shared" si="3"/>
        <v>7743772.5474137496</v>
      </c>
      <c r="E44" s="266">
        <f>'SMC Prior Year Receipts'!O44</f>
        <v>780530.50115663535</v>
      </c>
      <c r="F44" s="266">
        <f>'SMC Prior Year Receipts'!P44+'SMC Prior Year Receipts'!S44</f>
        <v>595982.63168097707</v>
      </c>
      <c r="G44" s="266">
        <f>'County Dist Support Svc Acct'!E44</f>
        <v>576542.09752579895</v>
      </c>
      <c r="H44" s="266">
        <f>'County Dist Support Svc Acct'!F44</f>
        <v>577375.97104452457</v>
      </c>
      <c r="I44" s="266">
        <f>'County Dist Support Svc Acct'!G44</f>
        <v>753991.21876391629</v>
      </c>
      <c r="J44" s="266">
        <f>'County Dist Support Svc Acct'!H44</f>
        <v>576360.03588438604</v>
      </c>
      <c r="K44" s="266">
        <f>'County Dist Support Svc Acct'!I44</f>
        <v>606843.52341045346</v>
      </c>
      <c r="L44" s="266">
        <f>'County Dist Support Svc Acct'!J44</f>
        <v>893598.16194016323</v>
      </c>
      <c r="M44" s="266">
        <f>'County Dist Support Svc Acct'!K44</f>
        <v>562255.53139487782</v>
      </c>
      <c r="N44" s="266">
        <f>'County Dist Support Svc Acct'!L44</f>
        <v>481345.94323941728</v>
      </c>
      <c r="O44" s="266">
        <f>'County Dist Support Svc Acct'!M44</f>
        <v>775003.22583922802</v>
      </c>
      <c r="P44" s="267">
        <f>'County Dist Support Svc Acct'!N44</f>
        <v>563943.70553337224</v>
      </c>
      <c r="R44" s="594"/>
      <c r="S44" s="267">
        <f>SUM((S$19*R$30)*B44)+S20</f>
        <v>0</v>
      </c>
    </row>
    <row r="45" spans="1:19" outlineLevel="1" x14ac:dyDescent="0.45">
      <c r="A45" s="270" t="s">
        <v>80</v>
      </c>
      <c r="B45" s="271">
        <f t="shared" ref="B45:P45" si="5">SUBTOTAL(9,B32:B44)</f>
        <v>1</v>
      </c>
      <c r="C45" s="272">
        <f t="shared" si="5"/>
        <v>11942389.714025946</v>
      </c>
      <c r="D45" s="272">
        <f t="shared" ref="D45:D52" si="6">SUM(E45:P45)+S45</f>
        <v>12361737.083749756</v>
      </c>
      <c r="E45" s="273">
        <f t="shared" ref="E45:H45" si="7">SUBTOTAL(9,E32:E44)</f>
        <v>1252440.6314500801</v>
      </c>
      <c r="F45" s="273">
        <f t="shared" si="7"/>
        <v>892380.662358145</v>
      </c>
      <c r="G45" s="273">
        <f t="shared" si="7"/>
        <v>925120.47589778772</v>
      </c>
      <c r="H45" s="273">
        <f t="shared" si="7"/>
        <v>926458.51083017618</v>
      </c>
      <c r="I45" s="273">
        <f t="shared" si="5"/>
        <v>1209855.6516845054</v>
      </c>
      <c r="J45" s="273">
        <f t="shared" si="5"/>
        <v>924828.33946391859</v>
      </c>
      <c r="K45" s="273">
        <f t="shared" si="5"/>
        <v>973742.19780689559</v>
      </c>
      <c r="L45" s="273">
        <f t="shared" si="5"/>
        <v>1433869.2011965006</v>
      </c>
      <c r="M45" s="273">
        <f t="shared" si="5"/>
        <v>902196.22645494191</v>
      </c>
      <c r="N45" s="273">
        <f t="shared" si="5"/>
        <v>772368.55728682154</v>
      </c>
      <c r="O45" s="273">
        <f t="shared" si="5"/>
        <v>1243571.5556375734</v>
      </c>
      <c r="P45" s="274">
        <f t="shared" si="5"/>
        <v>904905.07368241157</v>
      </c>
      <c r="R45" s="595"/>
      <c r="S45" s="293">
        <f>SUBTOTAL(9,S32:S44)</f>
        <v>0</v>
      </c>
    </row>
    <row r="46" spans="1:19" x14ac:dyDescent="0.45">
      <c r="A46" s="188" t="s">
        <v>28</v>
      </c>
      <c r="B46" s="275">
        <v>2.3870441700000002E-2</v>
      </c>
      <c r="C46" s="258">
        <f>(SUM('County Dist Support Svc Acct'!C46/12)*10)+(SUM('SMC Prior Year Receipts'!C46/12)*2)</f>
        <v>538165.20694324421</v>
      </c>
      <c r="D46" s="259">
        <f t="shared" ref="D46:D47" si="8">SUM(E46:P46)</f>
        <v>552326.13464392233</v>
      </c>
      <c r="E46" s="260">
        <f>'SMC Prior Year Receipts'!O46</f>
        <v>56858.843428948036</v>
      </c>
      <c r="F46" s="260">
        <f>'SMC Prior Year Receipts'!P46+'SMC Prior Year Receipts'!S46</f>
        <v>35711.988654369707</v>
      </c>
      <c r="G46" s="260">
        <f>'County Dist Support Svc Acct'!E46</f>
        <v>41629.88645948621</v>
      </c>
      <c r="H46" s="260">
        <f>'County Dist Support Svc Acct'!F46</f>
        <v>41690.09725771776</v>
      </c>
      <c r="I46" s="260">
        <f>'County Dist Support Svc Acct'!G46</f>
        <v>54442.804720234504</v>
      </c>
      <c r="J46" s="260">
        <f>'County Dist Support Svc Acct'!H46</f>
        <v>41616.74048889157</v>
      </c>
      <c r="K46" s="260">
        <f>'County Dist Support Svc Acct'!I46</f>
        <v>43817.835829622636</v>
      </c>
      <c r="L46" s="260">
        <f>'County Dist Support Svc Acct'!J46</f>
        <v>64523.284911228773</v>
      </c>
      <c r="M46" s="260">
        <f>'County Dist Support Svc Acct'!K46</f>
        <v>40598.308490629264</v>
      </c>
      <c r="N46" s="260">
        <f>'County Dist Support Svc Acct'!L46</f>
        <v>34756.138451615087</v>
      </c>
      <c r="O46" s="260">
        <f>'County Dist Support Svc Acct'!M46</f>
        <v>55960.0009017189</v>
      </c>
      <c r="P46" s="261">
        <f>'County Dist Support Svc Acct'!N46</f>
        <v>40720.205049459859</v>
      </c>
      <c r="R46" s="596">
        <f>'County One Time Input-GROWTH'!F46</f>
        <v>2.3759667200000001E-2</v>
      </c>
      <c r="S46" s="261">
        <f>S$19*R46</f>
        <v>0</v>
      </c>
    </row>
    <row r="47" spans="1:19" x14ac:dyDescent="0.45">
      <c r="A47" s="188" t="s">
        <v>29</v>
      </c>
      <c r="B47" s="275">
        <v>2.6843240800000001E-2</v>
      </c>
      <c r="C47" s="258">
        <f>(SUM('County Dist Support Svc Acct'!C47/12)*10)+(SUM('SMC Prior Year Receipts'!C47/12)*2)</f>
        <v>605187.72669174057</v>
      </c>
      <c r="D47" s="259">
        <f t="shared" si="8"/>
        <v>621112.241162005</v>
      </c>
      <c r="E47" s="260">
        <f>'SMC Prior Year Receipts'!O47</f>
        <v>63939.982550584718</v>
      </c>
      <c r="F47" s="260">
        <f>'SMC Prior Year Receipts'!P47+'SMC Prior Year Receipts'!S47</f>
        <v>40159.521258298046</v>
      </c>
      <c r="G47" s="260">
        <f>'County Dist Support Svc Acct'!E47</f>
        <v>46814.428097393109</v>
      </c>
      <c r="H47" s="260">
        <f>'County Dist Support Svc Acct'!F47</f>
        <v>46882.137484187639</v>
      </c>
      <c r="I47" s="260">
        <f>'County Dist Support Svc Acct'!G47</f>
        <v>61223.05352612985</v>
      </c>
      <c r="J47" s="260">
        <f>'County Dist Support Svc Acct'!H47</f>
        <v>46799.644941648214</v>
      </c>
      <c r="K47" s="260">
        <f>'County Dist Support Svc Acct'!I47</f>
        <v>49274.862347404094</v>
      </c>
      <c r="L47" s="260">
        <f>'County Dist Support Svc Acct'!J47</f>
        <v>72558.945963591977</v>
      </c>
      <c r="M47" s="260">
        <f>'County Dist Support Svc Acct'!K47</f>
        <v>45654.378509054543</v>
      </c>
      <c r="N47" s="260">
        <f>'County Dist Support Svc Acct'!L47</f>
        <v>39084.630847351487</v>
      </c>
      <c r="O47" s="260">
        <f>'County Dist Support Svc Acct'!M47</f>
        <v>62929.199701110731</v>
      </c>
      <c r="P47" s="261">
        <f>'County Dist Support Svc Acct'!N47</f>
        <v>45791.455935250458</v>
      </c>
      <c r="R47" s="596">
        <f>'County One Time Input-GROWTH'!F47</f>
        <v>2.67186708E-2</v>
      </c>
      <c r="S47" s="261">
        <f>S$19*R47</f>
        <v>0</v>
      </c>
    </row>
    <row r="48" spans="1:19" ht="15.75" outlineLevel="1" x14ac:dyDescent="0.5">
      <c r="A48" s="262"/>
      <c r="B48" s="263" t="s">
        <v>72</v>
      </c>
      <c r="C48" s="264"/>
      <c r="D48" s="265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7"/>
      <c r="R48" s="593"/>
      <c r="S48" s="267" t="e">
        <f>S$20*$B48</f>
        <v>#VALUE!</v>
      </c>
    </row>
    <row r="49" spans="1:19" outlineLevel="1" x14ac:dyDescent="0.45">
      <c r="A49" s="276" t="s">
        <v>29</v>
      </c>
      <c r="B49" s="269">
        <v>0.6750743881344401</v>
      </c>
      <c r="C49" s="264">
        <f>(SUM('County Dist Support Svc Acct'!C49/12)*10)+(SUM('SMC Prior Year Receipts'!C49/12)*2)</f>
        <v>408546.73430289957</v>
      </c>
      <c r="D49" s="265">
        <f t="shared" ref="D49:D51" si="9">SUM(E49:P49)</f>
        <v>475908.7977133668</v>
      </c>
      <c r="E49" s="266">
        <f>'SMC Prior Year Receipts'!O49</f>
        <v>43164.244597662757</v>
      </c>
      <c r="F49" s="266">
        <f>'SMC Prior Year Receipts'!P49+'SMC Prior Year Receipts'!S49</f>
        <v>83722.495789333087</v>
      </c>
      <c r="G49" s="266">
        <f>'County Dist Support Svc Acct'!E49</f>
        <v>31603.221403711395</v>
      </c>
      <c r="H49" s="266">
        <f>'County Dist Support Svc Acct'!F49</f>
        <v>31648.930276572668</v>
      </c>
      <c r="I49" s="266">
        <f>'County Dist Support Svc Acct'!G49</f>
        <v>41330.115398874186</v>
      </c>
      <c r="J49" s="266">
        <f>'County Dist Support Svc Acct'!H49</f>
        <v>31593.241673892211</v>
      </c>
      <c r="K49" s="266">
        <f>'County Dist Support Svc Acct'!I49</f>
        <v>33264.197549582583</v>
      </c>
      <c r="L49" s="266">
        <f>'County Dist Support Svc Acct'!J49</f>
        <v>48982.686050051758</v>
      </c>
      <c r="M49" s="266">
        <f>'County Dist Support Svc Acct'!K49</f>
        <v>30820.101637658128</v>
      </c>
      <c r="N49" s="266">
        <f>'County Dist Support Svc Acct'!L49</f>
        <v>26385.033254736267</v>
      </c>
      <c r="O49" s="266">
        <f>'County Dist Support Svc Acct'!M49</f>
        <v>42481.890984017315</v>
      </c>
      <c r="P49" s="267">
        <f>'County Dist Support Svc Acct'!N49</f>
        <v>30912.639097274379</v>
      </c>
      <c r="R49" s="594"/>
      <c r="S49" s="267">
        <f>S$20*$B49</f>
        <v>0</v>
      </c>
    </row>
    <row r="50" spans="1:19" outlineLevel="1" x14ac:dyDescent="0.45">
      <c r="A50" s="276" t="s">
        <v>61</v>
      </c>
      <c r="B50" s="269">
        <v>0.31521388655034555</v>
      </c>
      <c r="C50" s="264">
        <f>(SUM('County Dist Support Svc Acct'!C50/12)*10)+(SUM('SMC Prior Year Receipts'!C50/12)*2)</f>
        <v>190763.57542307183</v>
      </c>
      <c r="D50" s="265">
        <f t="shared" si="9"/>
        <v>222217.08363917025</v>
      </c>
      <c r="E50" s="266">
        <f>'SMC Prior Year Receipts'!O50</f>
        <v>20154.770405731084</v>
      </c>
      <c r="F50" s="266">
        <f>'SMC Prior Year Receipts'!P50+'SMC Prior Year Receipts'!S50</f>
        <v>39092.718896328493</v>
      </c>
      <c r="G50" s="266">
        <f>'County Dist Support Svc Acct'!E50</f>
        <v>14756.55782721098</v>
      </c>
      <c r="H50" s="266">
        <f>'County Dist Support Svc Acct'!F50</f>
        <v>14777.900766178425</v>
      </c>
      <c r="I50" s="266">
        <f>'County Dist Support Svc Acct'!G50</f>
        <v>19298.356648451227</v>
      </c>
      <c r="J50" s="266">
        <f>'County Dist Support Svc Acct'!H50</f>
        <v>14751.897971233153</v>
      </c>
      <c r="K50" s="266">
        <f>'County Dist Support Svc Acct'!I50</f>
        <v>15532.120869758528</v>
      </c>
      <c r="L50" s="266">
        <f>'County Dist Support Svc Acct'!J50</f>
        <v>22871.587361180333</v>
      </c>
      <c r="M50" s="266">
        <f>'County Dist Support Svc Acct'!K50</f>
        <v>14390.894087879653</v>
      </c>
      <c r="N50" s="266">
        <f>'County Dist Support Svc Acct'!L50</f>
        <v>12320.018393779188</v>
      </c>
      <c r="O50" s="266">
        <f>'County Dist Support Svc Acct'!M50</f>
        <v>19836.157615289958</v>
      </c>
      <c r="P50" s="267">
        <f>'County Dist Support Svc Acct'!N50</f>
        <v>14434.102796149185</v>
      </c>
      <c r="R50" s="594"/>
      <c r="S50" s="267">
        <f>S$20*$B50</f>
        <v>0</v>
      </c>
    </row>
    <row r="51" spans="1:19" outlineLevel="1" x14ac:dyDescent="0.45">
      <c r="A51" s="276" t="s">
        <v>62</v>
      </c>
      <c r="B51" s="269">
        <v>9.7117253152142584E-3</v>
      </c>
      <c r="C51" s="264">
        <f>(SUM('County Dist Support Svc Acct'!C51/12)*10)+(SUM('SMC Prior Year Receipts'!C51/12)*2)</f>
        <v>5877.4169657691455</v>
      </c>
      <c r="D51" s="265">
        <f t="shared" si="9"/>
        <v>6846.4981040958646</v>
      </c>
      <c r="E51" s="266">
        <f>'SMC Prior Year Receipts'!O51</f>
        <v>620.96754719087767</v>
      </c>
      <c r="F51" s="266">
        <f>'SMC Prior Year Receipts'!P51+'SMC Prior Year Receipts'!S51</f>
        <v>1204.4448672644053</v>
      </c>
      <c r="G51" s="266">
        <f>'County Dist Support Svc Acct'!E51</f>
        <v>454.64886647073399</v>
      </c>
      <c r="H51" s="266">
        <f>'County Dist Support Svc Acct'!F51</f>
        <v>455.30644143654536</v>
      </c>
      <c r="I51" s="266">
        <f>'County Dist Support Svc Acct'!G51</f>
        <v>594.58147880443721</v>
      </c>
      <c r="J51" s="266">
        <f>'County Dist Support Svc Acct'!H51</f>
        <v>454.50529652284968</v>
      </c>
      <c r="K51" s="266">
        <f>'County Dist Support Svc Acct'!I51</f>
        <v>478.54392806298347</v>
      </c>
      <c r="L51" s="266">
        <f>'County Dist Support Svc Acct'!J51</f>
        <v>704.67255235988705</v>
      </c>
      <c r="M51" s="266">
        <f>'County Dist Support Svc Acct'!K51</f>
        <v>443.38278351676126</v>
      </c>
      <c r="N51" s="266">
        <f>'County Dist Support Svc Acct'!L51</f>
        <v>379.57919883603245</v>
      </c>
      <c r="O51" s="266">
        <f>'County Dist Support Svc Acct'!M51</f>
        <v>611.151101803458</v>
      </c>
      <c r="P51" s="267">
        <f>'County Dist Support Svc Acct'!N51</f>
        <v>444.71404182689366</v>
      </c>
      <c r="R51" s="594"/>
      <c r="S51" s="267">
        <f>S$20*$B51</f>
        <v>0</v>
      </c>
    </row>
    <row r="52" spans="1:19" outlineLevel="1" x14ac:dyDescent="0.45">
      <c r="A52" s="270" t="s">
        <v>81</v>
      </c>
      <c r="B52" s="269">
        <f t="shared" ref="B52:P52" si="10">SUBTOTAL(9,B49:B51)</f>
        <v>0.99999999999999989</v>
      </c>
      <c r="C52" s="264">
        <f t="shared" si="10"/>
        <v>605187.72669174057</v>
      </c>
      <c r="D52" s="264">
        <f t="shared" si="6"/>
        <v>704972.37945663277</v>
      </c>
      <c r="E52" s="265">
        <f t="shared" ref="E52:H52" si="11">SUBTOTAL(9,E49:E51)</f>
        <v>63939.982550584718</v>
      </c>
      <c r="F52" s="265">
        <f t="shared" si="11"/>
        <v>124019.65955292598</v>
      </c>
      <c r="G52" s="265">
        <f t="shared" si="11"/>
        <v>46814.428097393109</v>
      </c>
      <c r="H52" s="265">
        <f t="shared" si="11"/>
        <v>46882.137484187639</v>
      </c>
      <c r="I52" s="265">
        <f t="shared" si="10"/>
        <v>61223.05352612985</v>
      </c>
      <c r="J52" s="265">
        <f t="shared" si="10"/>
        <v>46799.644941648221</v>
      </c>
      <c r="K52" s="265">
        <f t="shared" si="10"/>
        <v>49274.862347404094</v>
      </c>
      <c r="L52" s="265">
        <f t="shared" si="10"/>
        <v>72558.945963591977</v>
      </c>
      <c r="M52" s="265">
        <f t="shared" si="10"/>
        <v>45654.378509054543</v>
      </c>
      <c r="N52" s="265">
        <f t="shared" si="10"/>
        <v>39084.63084735148</v>
      </c>
      <c r="O52" s="265">
        <f t="shared" si="10"/>
        <v>62929.199701110731</v>
      </c>
      <c r="P52" s="277">
        <f t="shared" si="10"/>
        <v>45791.455935250458</v>
      </c>
      <c r="R52" s="594"/>
      <c r="S52" s="277">
        <f>S$20*$B52</f>
        <v>0</v>
      </c>
    </row>
    <row r="53" spans="1:19" ht="14.65" thickBot="1" x14ac:dyDescent="0.5">
      <c r="A53" s="195" t="s">
        <v>31</v>
      </c>
      <c r="B53" s="278">
        <f>'County One Time Input-BASE'!F51</f>
        <v>0</v>
      </c>
      <c r="C53" s="279">
        <f>(SUM('County Dist Support Svc Acct'!C53/12)*10)+(SUM('SMC Prior Year Receipts'!C53/12)*2)</f>
        <v>0</v>
      </c>
      <c r="D53" s="259">
        <f>SUM(E53:P53)</f>
        <v>0</v>
      </c>
      <c r="E53" s="281">
        <f>'SMC Prior Year Receipts'!O53</f>
        <v>0</v>
      </c>
      <c r="F53" s="281">
        <f>'SMC Prior Year Receipts'!P53+'SMC Prior Year Receipts'!S53</f>
        <v>0</v>
      </c>
      <c r="G53" s="281">
        <f>'County Dist Support Svc Acct'!E53</f>
        <v>0</v>
      </c>
      <c r="H53" s="281">
        <f>'County Dist Support Svc Acct'!F53</f>
        <v>0</v>
      </c>
      <c r="I53" s="281">
        <f>'County Dist Support Svc Acct'!G53</f>
        <v>0</v>
      </c>
      <c r="J53" s="281">
        <f>'County Dist Support Svc Acct'!H53</f>
        <v>0</v>
      </c>
      <c r="K53" s="281">
        <f>'County Dist Support Svc Acct'!I53</f>
        <v>0</v>
      </c>
      <c r="L53" s="281">
        <f>'County Dist Support Svc Acct'!J53</f>
        <v>0</v>
      </c>
      <c r="M53" s="281">
        <f>'County Dist Support Svc Acct'!K53</f>
        <v>0</v>
      </c>
      <c r="N53" s="281">
        <f>'County Dist Support Svc Acct'!L53</f>
        <v>0</v>
      </c>
      <c r="O53" s="281">
        <f>'County Dist Support Svc Acct'!M53</f>
        <v>0</v>
      </c>
      <c r="P53" s="282">
        <f>'County Dist Support Svc Acct'!N53</f>
        <v>0</v>
      </c>
      <c r="R53" s="597">
        <f>'County One Time Input-GROWTH'!F48</f>
        <v>0</v>
      </c>
      <c r="S53" s="282">
        <f>S$19*R53</f>
        <v>0</v>
      </c>
    </row>
    <row r="54" spans="1:19" ht="14.65" thickBot="1" x14ac:dyDescent="0.5">
      <c r="A54" s="55" t="s">
        <v>95</v>
      </c>
      <c r="B54" s="56">
        <f t="shared" ref="B54:P54" si="12">+B25+B26+B27+B28+B29+B30+B46+B47+B53</f>
        <v>0.99999999999999989</v>
      </c>
      <c r="C54" s="65">
        <f t="shared" si="12"/>
        <v>22633377.249426778</v>
      </c>
      <c r="D54" s="65">
        <f t="shared" si="12"/>
        <v>23334040.280578025</v>
      </c>
      <c r="E54" s="136">
        <f t="shared" si="12"/>
        <v>2381977.0133934319</v>
      </c>
      <c r="F54" s="136">
        <f t="shared" si="12"/>
        <v>1601821.5870063216</v>
      </c>
      <c r="G54" s="136">
        <f t="shared" si="12"/>
        <v>1752124.14</v>
      </c>
      <c r="H54" s="136">
        <f t="shared" si="12"/>
        <v>1754658.3</v>
      </c>
      <c r="I54" s="136">
        <f t="shared" si="12"/>
        <v>2291395.9300000006</v>
      </c>
      <c r="J54" s="136">
        <f t="shared" si="12"/>
        <v>1751570.8506595397</v>
      </c>
      <c r="K54" s="136">
        <f t="shared" si="12"/>
        <v>1844210.8410349549</v>
      </c>
      <c r="L54" s="136">
        <f t="shared" si="12"/>
        <v>2715664.5069182101</v>
      </c>
      <c r="M54" s="136">
        <f t="shared" si="12"/>
        <v>1708706.9506861302</v>
      </c>
      <c r="N54" s="136">
        <f t="shared" si="12"/>
        <v>1462820.929226445</v>
      </c>
      <c r="O54" s="136">
        <f t="shared" si="12"/>
        <v>2355251.8825566252</v>
      </c>
      <c r="P54" s="137">
        <f t="shared" si="12"/>
        <v>1713837.3490963653</v>
      </c>
      <c r="R54" s="590">
        <f>R25+R26+R27+R28+R29+R30+R46+R47+R53</f>
        <v>1</v>
      </c>
      <c r="S54" s="137">
        <f>+S25+S26+S27+S28+S29+S30+S46+S47+S53</f>
        <v>0</v>
      </c>
    </row>
    <row r="56" spans="1:19" hidden="1" x14ac:dyDescent="0.45"/>
    <row r="57" spans="1:19" hidden="1" x14ac:dyDescent="0.45">
      <c r="A57" t="s">
        <v>43</v>
      </c>
      <c r="C57" s="39">
        <f>C15</f>
        <v>13464079.795349916</v>
      </c>
      <c r="D57" s="39"/>
    </row>
    <row r="58" spans="1:19" hidden="1" x14ac:dyDescent="0.45"/>
    <row r="59" spans="1:19" ht="57.4" hidden="1" thickBot="1" x14ac:dyDescent="0.5">
      <c r="A59" s="316" t="s">
        <v>37</v>
      </c>
      <c r="B59" s="315" t="str">
        <f>CONCATENATE('County One Time Input-BASE'!C2," County % Distribution (PROG/TOT BH)")</f>
        <v>San Mateo County % Distribution (PROG/TOT BH)</v>
      </c>
      <c r="C59" s="315" t="str">
        <f>CONCATENATE('County One Time Input-BASE'!C2," County Portion (Distribution to Programs)")</f>
        <v>San Mateo County Portion (Distribution to Programs)</v>
      </c>
      <c r="D59" s="57" t="str">
        <f>D3</f>
        <v>RECEIPTS THROUGH JULY</v>
      </c>
      <c r="E59" s="27" t="s">
        <v>7</v>
      </c>
      <c r="F59" s="27" t="s">
        <v>8</v>
      </c>
      <c r="G59" s="27" t="s">
        <v>9</v>
      </c>
      <c r="H59" s="27" t="s">
        <v>10</v>
      </c>
      <c r="I59" s="27" t="s">
        <v>11</v>
      </c>
      <c r="J59" s="27" t="s">
        <v>12</v>
      </c>
      <c r="K59" s="27" t="s">
        <v>13</v>
      </c>
      <c r="L59" s="27" t="s">
        <v>14</v>
      </c>
      <c r="M59" s="27" t="s">
        <v>15</v>
      </c>
      <c r="N59" s="27" t="s">
        <v>16</v>
      </c>
      <c r="O59" s="27" t="s">
        <v>17</v>
      </c>
      <c r="P59" s="28" t="s">
        <v>18</v>
      </c>
      <c r="R59" s="412" t="s">
        <v>175</v>
      </c>
      <c r="S59" s="598" t="s">
        <v>172</v>
      </c>
    </row>
    <row r="60" spans="1:19" ht="4.5" hidden="1" customHeight="1" thickBot="1" x14ac:dyDescent="0.5">
      <c r="A60" s="40"/>
      <c r="B60" s="41"/>
      <c r="C60" s="41"/>
      <c r="D60" s="41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3"/>
      <c r="R60" s="589"/>
      <c r="S60" s="43"/>
    </row>
    <row r="61" spans="1:19" hidden="1" x14ac:dyDescent="0.45">
      <c r="A61" s="283" t="s">
        <v>44</v>
      </c>
      <c r="B61" s="284">
        <f>'County One Time Input-BASE'!F60</f>
        <v>0.2029597891992356</v>
      </c>
      <c r="C61" s="285">
        <f>(SUM('County Dist Support Svc Acct'!C61/12)*10)+(SUM('SMC Prior Year Receipts'!C61/12)*2)</f>
        <v>2732666.7970259064</v>
      </c>
      <c r="D61" s="254">
        <f>SUM(E61:P61)</f>
        <v>2868753.5300000003</v>
      </c>
      <c r="E61" s="255">
        <f>'SMC Prior Year Receipts'!O61</f>
        <v>279362.58</v>
      </c>
      <c r="F61" s="255">
        <f>'SMC Prior Year Receipts'!P61+'SMC Prior Year Receipts'!S61</f>
        <v>239700.38</v>
      </c>
      <c r="G61" s="255">
        <f>'County Dist Support Svc Acct'!E61</f>
        <v>212946.37</v>
      </c>
      <c r="H61" s="255">
        <f>'County Dist Support Svc Acct'!F61</f>
        <v>213255.64</v>
      </c>
      <c r="I61" s="255">
        <f>'County Dist Support Svc Acct'!G61</f>
        <v>278759.99</v>
      </c>
      <c r="J61" s="255">
        <f>'County Dist Support Svc Acct'!H61</f>
        <v>212160.87</v>
      </c>
      <c r="K61" s="255">
        <f>'County Dist Support Svc Acct'!I61</f>
        <v>223452.5</v>
      </c>
      <c r="L61" s="255">
        <f>'County Dist Support Svc Acct'!J61</f>
        <v>330119.17</v>
      </c>
      <c r="M61" s="255">
        <f>'County Dist Support Svc Acct'!K61</f>
        <v>207383.87</v>
      </c>
      <c r="N61" s="255">
        <f>'County Dist Support Svc Acct'!L61</f>
        <v>177413.5</v>
      </c>
      <c r="O61" s="255">
        <f>'County Dist Support Svc Acct'!M61</f>
        <v>286189.46000000002</v>
      </c>
      <c r="P61" s="256">
        <f>'County Dist Support Svc Acct'!N61</f>
        <v>208009.2</v>
      </c>
      <c r="R61" s="603">
        <f>'County One Time Input-GROWTH'!F57</f>
        <v>0.2029597891992356</v>
      </c>
      <c r="S61" s="599">
        <f>ROUND(S$15*$R61,2)</f>
        <v>0</v>
      </c>
    </row>
    <row r="62" spans="1:19" ht="15.75" hidden="1" outlineLevel="1" x14ac:dyDescent="0.5">
      <c r="A62" s="262"/>
      <c r="B62" s="263" t="s">
        <v>71</v>
      </c>
      <c r="C62" s="264"/>
      <c r="D62" s="265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7"/>
      <c r="R62" s="593"/>
      <c r="S62" s="600"/>
    </row>
    <row r="63" spans="1:19" hidden="1" outlineLevel="1" x14ac:dyDescent="0.45">
      <c r="A63" s="276" t="s">
        <v>63</v>
      </c>
      <c r="B63" s="269">
        <v>0.73449730765567134</v>
      </c>
      <c r="C63" s="264">
        <f>(SUM('County Dist Support Svc Acct'!C63/12)*10)+(SUM('SMC Prior Year Receipts'!C63/12)*2)</f>
        <v>2007136.405135575</v>
      </c>
      <c r="D63" s="265">
        <f t="shared" ref="D63:D65" si="13">SUM(E63:P63)</f>
        <v>2107091.744112703</v>
      </c>
      <c r="E63" s="266">
        <f>'SMC Prior Year Receipts'!O63</f>
        <v>205191.06286974211</v>
      </c>
      <c r="F63" s="266">
        <f>'SMC Prior Year Receipts'!P63+'SMC Prior Year Receipts'!S63</f>
        <v>176059.28375404133</v>
      </c>
      <c r="G63" s="266">
        <f>'County Dist Support Svc Acct'!E63</f>
        <v>156408.53544004841</v>
      </c>
      <c r="H63" s="266">
        <f>'County Dist Support Svc Acct'!F63</f>
        <v>156635.69342238709</v>
      </c>
      <c r="I63" s="266">
        <f>'County Dist Support Svc Acct'!G63</f>
        <v>204748.46213712185</v>
      </c>
      <c r="J63" s="266">
        <f>'County Dist Support Svc Acct'!H63</f>
        <v>155831.58780488488</v>
      </c>
      <c r="K63" s="266">
        <f>'County Dist Support Svc Acct'!I63</f>
        <v>164125.2596389289</v>
      </c>
      <c r="L63" s="266">
        <f>'County Dist Support Svc Acct'!J63</f>
        <v>242471.64157052487</v>
      </c>
      <c r="M63" s="266">
        <f>'County Dist Support Svc Acct'!K63</f>
        <v>152322.89416621375</v>
      </c>
      <c r="N63" s="266">
        <f>'County Dist Support Svc Acct'!L63</f>
        <v>130309.73809176945</v>
      </c>
      <c r="O63" s="266">
        <f>'County Dist Support Svc Acct'!M63</f>
        <v>210205.38784943047</v>
      </c>
      <c r="P63" s="267">
        <f>'County Dist Support Svc Acct'!N63</f>
        <v>152782.19736761009</v>
      </c>
      <c r="R63" s="594"/>
      <c r="S63" s="600">
        <f>S$61*$B63</f>
        <v>0</v>
      </c>
    </row>
    <row r="64" spans="1:19" hidden="1" outlineLevel="1" x14ac:dyDescent="0.45">
      <c r="A64" s="276" t="s">
        <v>64</v>
      </c>
      <c r="B64" s="269">
        <v>0.11505079313494221</v>
      </c>
      <c r="C64" s="264">
        <f>(SUM('County Dist Support Svc Acct'!C64/12)*10)+(SUM('SMC Prior Year Receipts'!C64/12)*2)</f>
        <v>314395.48237135267</v>
      </c>
      <c r="D64" s="265">
        <f t="shared" si="13"/>
        <v>330052.36893516523</v>
      </c>
      <c r="E64" s="266">
        <f>'SMC Prior Year Receipts'!O64</f>
        <v>32140.886401223746</v>
      </c>
      <c r="F64" s="266">
        <f>'SMC Prior Year Receipts'!P64+'SMC Prior Year Receipts'!S64</f>
        <v>27577.718833747036</v>
      </c>
      <c r="G64" s="266">
        <f>'County Dist Support Svc Acct'!E64</f>
        <v>24499.648763706864</v>
      </c>
      <c r="H64" s="266">
        <f>'County Dist Support Svc Acct'!F64</f>
        <v>24535.230522499707</v>
      </c>
      <c r="I64" s="266">
        <f>'County Dist Support Svc Acct'!G64</f>
        <v>32071.557943788557</v>
      </c>
      <c r="J64" s="266">
        <f>'County Dist Support Svc Acct'!H64</f>
        <v>24409.276365699367</v>
      </c>
      <c r="K64" s="266">
        <f>'County Dist Support Svc Acct'!I64</f>
        <v>25708.387352985676</v>
      </c>
      <c r="L64" s="266">
        <f>'County Dist Support Svc Acct'!J64</f>
        <v>37980.472337548817</v>
      </c>
      <c r="M64" s="266">
        <f>'County Dist Support Svc Acct'!K64</f>
        <v>23859.678726893748</v>
      </c>
      <c r="N64" s="266">
        <f>'County Dist Support Svc Acct'!L64</f>
        <v>20411.56388784607</v>
      </c>
      <c r="O64" s="266">
        <f>'County Dist Support Svc Acct'!M64</f>
        <v>32926.324359860817</v>
      </c>
      <c r="P64" s="267">
        <f>'County Dist Support Svc Acct'!N64</f>
        <v>23931.623439364823</v>
      </c>
      <c r="R64" s="594"/>
      <c r="S64" s="600">
        <f>S$61*$B64</f>
        <v>0</v>
      </c>
    </row>
    <row r="65" spans="1:19" hidden="1" outlineLevel="1" x14ac:dyDescent="0.45">
      <c r="A65" s="276" t="s">
        <v>65</v>
      </c>
      <c r="B65" s="269">
        <v>0.15045189920938651</v>
      </c>
      <c r="C65" s="264">
        <f>(SUM('County Dist Support Svc Acct'!C65/12)*10)+(SUM('SMC Prior Year Receipts'!C65/12)*2)</f>
        <v>411134.90951897867</v>
      </c>
      <c r="D65" s="265">
        <f t="shared" si="13"/>
        <v>431609.41695213172</v>
      </c>
      <c r="E65" s="266">
        <f>'SMC Prior Year Receipts'!O65</f>
        <v>42030.630729034179</v>
      </c>
      <c r="F65" s="266">
        <f>'SMC Prior Year Receipts'!P65+'SMC Prior Year Receipts'!S65</f>
        <v>36063.377412211645</v>
      </c>
      <c r="G65" s="266">
        <f>'County Dist Support Svc Acct'!E65</f>
        <v>32038.185796244725</v>
      </c>
      <c r="H65" s="266">
        <f>'County Dist Support Svc Acct'!F65</f>
        <v>32084.716055113215</v>
      </c>
      <c r="I65" s="266">
        <f>'County Dist Support Svc Acct'!G65</f>
        <v>41939.969919089592</v>
      </c>
      <c r="J65" s="266">
        <f>'County Dist Support Svc Acct'!H65</f>
        <v>31920.005829415753</v>
      </c>
      <c r="K65" s="266">
        <f>'County Dist Support Svc Acct'!I65</f>
        <v>33618.85300808544</v>
      </c>
      <c r="L65" s="266">
        <f>'County Dist Support Svc Acct'!J65</f>
        <v>49667.05609192633</v>
      </c>
      <c r="M65" s="266">
        <f>'County Dist Support Svc Acct'!K65</f>
        <v>31201.297106892514</v>
      </c>
      <c r="N65" s="266">
        <f>'County Dist Support Svc Acct'!L65</f>
        <v>26692.198020384494</v>
      </c>
      <c r="O65" s="266">
        <f>'County Dist Support Svc Acct'!M65</f>
        <v>43057.747790708752</v>
      </c>
      <c r="P65" s="267">
        <f>'County Dist Support Svc Acct'!N65</f>
        <v>31295.379193025121</v>
      </c>
      <c r="R65" s="594"/>
      <c r="S65" s="600">
        <f>S$61*$B65</f>
        <v>0</v>
      </c>
    </row>
    <row r="66" spans="1:19" hidden="1" outlineLevel="1" x14ac:dyDescent="0.45">
      <c r="A66" s="270" t="s">
        <v>77</v>
      </c>
      <c r="B66" s="269">
        <f t="shared" ref="B66:C66" si="14">SUBTOTAL(9,B63:B65)</f>
        <v>1</v>
      </c>
      <c r="C66" s="264">
        <f t="shared" si="14"/>
        <v>2732666.7970259064</v>
      </c>
      <c r="D66" s="265">
        <f>SUM(E66:P66)+S66</f>
        <v>2868753.5300000003</v>
      </c>
      <c r="E66" s="264">
        <f>'SMC Prior Year Receipts'!O66</f>
        <v>279362.58</v>
      </c>
      <c r="F66" s="264">
        <f>'SMC Prior Year Receipts'!P66+'SMC Prior Year Receipts'!S66</f>
        <v>239700.38</v>
      </c>
      <c r="G66" s="264">
        <f>'County Dist Support Svc Acct'!E66</f>
        <v>212946.37</v>
      </c>
      <c r="H66" s="264">
        <f>'County Dist Support Svc Acct'!F66</f>
        <v>213255.64</v>
      </c>
      <c r="I66" s="264">
        <f>'County Dist Support Svc Acct'!G66</f>
        <v>278759.99</v>
      </c>
      <c r="J66" s="264">
        <f>'County Dist Support Svc Acct'!H66</f>
        <v>212160.87</v>
      </c>
      <c r="K66" s="264">
        <f>'County Dist Support Svc Acct'!I66</f>
        <v>223452.5</v>
      </c>
      <c r="L66" s="264">
        <f>'County Dist Support Svc Acct'!J66</f>
        <v>330119.17000000004</v>
      </c>
      <c r="M66" s="264">
        <f>'County Dist Support Svc Acct'!K66</f>
        <v>207383.87</v>
      </c>
      <c r="N66" s="264">
        <f>'County Dist Support Svc Acct'!L66</f>
        <v>177413.50000000003</v>
      </c>
      <c r="O66" s="264">
        <f>'County Dist Support Svc Acct'!M66</f>
        <v>286189.46000000002</v>
      </c>
      <c r="P66" s="286">
        <f>'County Dist Support Svc Acct'!N66</f>
        <v>208009.20000000004</v>
      </c>
      <c r="R66" s="594"/>
      <c r="S66" s="601">
        <f>SUBTOTAL(9,S63:S65)</f>
        <v>0</v>
      </c>
    </row>
    <row r="67" spans="1:19" ht="14.65" hidden="1" collapsed="1" thickBot="1" x14ac:dyDescent="0.5">
      <c r="A67" s="287" t="s">
        <v>45</v>
      </c>
      <c r="B67" s="288">
        <f>'County One Time Input-BASE'!F61</f>
        <v>0.79704021080076437</v>
      </c>
      <c r="C67" s="289">
        <f>(SUM('County Dist Support Svc Acct'!C67/12)*10)+(SUM('SMC Prior Year Receipts'!C67/12)*2)</f>
        <v>10731412.998324009</v>
      </c>
      <c r="D67" s="280">
        <f>SUM(E67:P67)</f>
        <v>11265837.1</v>
      </c>
      <c r="E67" s="281">
        <f>'SMC Prior Year Receipts'!O67</f>
        <v>1097080.4099999999</v>
      </c>
      <c r="F67" s="281">
        <f>'SMC Prior Year Receipts'!P67+'SMC Prior Year Receipts'!S67</f>
        <v>941323.58000000007</v>
      </c>
      <c r="G67" s="281">
        <f>'County Dist Support Svc Acct'!E67</f>
        <v>836258.36</v>
      </c>
      <c r="H67" s="281">
        <f>'County Dist Support Svc Acct'!F67</f>
        <v>837472.9</v>
      </c>
      <c r="I67" s="281">
        <f>'County Dist Support Svc Acct'!G67</f>
        <v>1094713.98</v>
      </c>
      <c r="J67" s="281">
        <f>'County Dist Support Svc Acct'!H67</f>
        <v>833173.62</v>
      </c>
      <c r="K67" s="281">
        <f>'County Dist Support Svc Acct'!I67</f>
        <v>877516.83</v>
      </c>
      <c r="L67" s="281">
        <f>'County Dist Support Svc Acct'!J67</f>
        <v>1296405.8400000001</v>
      </c>
      <c r="M67" s="281">
        <f>'County Dist Support Svc Acct'!K67</f>
        <v>814413.96</v>
      </c>
      <c r="N67" s="281">
        <f>'County Dist Support Svc Acct'!L67</f>
        <v>696717.77</v>
      </c>
      <c r="O67" s="281">
        <f>'County Dist Support Svc Acct'!M67</f>
        <v>1123890.17</v>
      </c>
      <c r="P67" s="282">
        <f>'County Dist Support Svc Acct'!N67</f>
        <v>816869.68</v>
      </c>
      <c r="R67" s="604">
        <f>'County One Time Input-GROWTH'!F58</f>
        <v>0.79704021080076437</v>
      </c>
      <c r="S67" s="602">
        <f>ROUND(S$15*$R67,2)</f>
        <v>0</v>
      </c>
    </row>
    <row r="68" spans="1:19" ht="16.149999999999999" hidden="1" outlineLevel="1" thickBot="1" x14ac:dyDescent="0.55000000000000004">
      <c r="A68" s="68"/>
      <c r="B68" s="69" t="s">
        <v>74</v>
      </c>
      <c r="C68" s="70"/>
      <c r="D68" s="71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3"/>
      <c r="R68" s="605"/>
    </row>
    <row r="69" spans="1:19" hidden="1" outlineLevel="1" x14ac:dyDescent="0.45">
      <c r="A69" s="79" t="s">
        <v>66</v>
      </c>
      <c r="B69" s="74">
        <v>0.74815819365314751</v>
      </c>
      <c r="C69" s="75">
        <f>(SUM('County Dist Support Svc Acct'!C69/12)*10)+(SUM('SMC Prior Year Receipts'!C69/12)*2)</f>
        <v>8028794.5641719988</v>
      </c>
      <c r="D69" s="76">
        <f>SUM(E69:P69)</f>
        <v>7957096.5382194193</v>
      </c>
      <c r="E69" s="77">
        <f>'SMC Prior Year Receipts'!O69</f>
        <v>820789.69783785439</v>
      </c>
      <c r="F69" s="77">
        <f>'SMC Prior Year Receipts'!P69+'SMC Prior Year Receipts'!S69</f>
        <v>232727.15274871912</v>
      </c>
      <c r="G69" s="77">
        <f>'County Dist Support Svc Acct'!E69</f>
        <v>625653.54404494353</v>
      </c>
      <c r="H69" s="77">
        <f>'County Dist Support Svc Acct'!F69</f>
        <v>626562.21209746308</v>
      </c>
      <c r="I69" s="77">
        <f>'County Dist Support Svc Acct'!G69</f>
        <v>819019.23384364787</v>
      </c>
      <c r="J69" s="77">
        <f>'County Dist Support Svc Acct'!H69</f>
        <v>623345.67053865397</v>
      </c>
      <c r="K69" s="77">
        <f>'County Dist Support Svc Acct'!I69</f>
        <v>656521.40643303609</v>
      </c>
      <c r="L69" s="77">
        <f>'County Dist Support Svc Acct'!J69</f>
        <v>969916.65149579139</v>
      </c>
      <c r="M69" s="77">
        <f>'County Dist Support Svc Acct'!K69</f>
        <v>609310.47719950671</v>
      </c>
      <c r="N69" s="77">
        <f>'County Dist Support Svc Acct'!L69</f>
        <v>521255.10828924912</v>
      </c>
      <c r="O69" s="77">
        <f>'County Dist Support Svc Acct'!M69</f>
        <v>840847.63945172878</v>
      </c>
      <c r="P69" s="78">
        <f>'County Dist Support Svc Acct'!N69</f>
        <v>611147.7442388247</v>
      </c>
      <c r="R69" s="606"/>
    </row>
    <row r="70" spans="1:19" s="129" customFormat="1" hidden="1" outlineLevel="2" x14ac:dyDescent="0.45">
      <c r="A70" s="90"/>
      <c r="B70" s="88" t="s">
        <v>75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91"/>
      <c r="R70" s="607"/>
    </row>
    <row r="71" spans="1:19" s="129" customFormat="1" hidden="1" outlineLevel="2" x14ac:dyDescent="0.45">
      <c r="A71" s="92" t="s">
        <v>68</v>
      </c>
      <c r="B71" s="86">
        <v>2.9538024408195404E-2</v>
      </c>
      <c r="C71" s="87">
        <f>(SUM('County Dist Support Svc Acct'!C71/12)*10)+(SUM('SMC Prior Year Receipts'!C71/12)*2)</f>
        <v>237154.72980489905</v>
      </c>
      <c r="D71" s="85">
        <f t="shared" ref="D71:D73" si="15">SUM(E71:P71)</f>
        <v>235036.91176429234</v>
      </c>
      <c r="E71" s="87">
        <f>'SMC Prior Year Receipts'!O71</f>
        <v>24244.506128729874</v>
      </c>
      <c r="F71" s="87">
        <f>'SMC Prior Year Receipts'!P71+'SMC Prior Year Receipts'!S71</f>
        <v>6874.3003183414858</v>
      </c>
      <c r="G71" s="87">
        <f>'County Dist Support Svc Acct'!E71</f>
        <v>18480.569655073501</v>
      </c>
      <c r="H71" s="87">
        <f>'County Dist Support Svc Acct'!F71</f>
        <v>18507.40991418777</v>
      </c>
      <c r="I71" s="87">
        <f>'County Dist Support Svc Acct'!G71</f>
        <v>24192.21012005517</v>
      </c>
      <c r="J71" s="87">
        <f>'County Dist Support Svc Acct'!H71</f>
        <v>18412.399631113691</v>
      </c>
      <c r="K71" s="87">
        <f>'County Dist Support Svc Acct'!I71</f>
        <v>19392.345327721796</v>
      </c>
      <c r="L71" s="87">
        <f>'County Dist Support Svc Acct'!J71</f>
        <v>28649.421725797842</v>
      </c>
      <c r="M71" s="87">
        <f>'County Dist Support Svc Acct'!K71</f>
        <v>17997.827747688218</v>
      </c>
      <c r="N71" s="87">
        <f>'County Dist Support Svc Acct'!L71</f>
        <v>15396.846111544379</v>
      </c>
      <c r="O71" s="87">
        <f>'County Dist Support Svc Acct'!M71</f>
        <v>24836.978097698655</v>
      </c>
      <c r="P71" s="93">
        <f>'County Dist Support Svc Acct'!N71</f>
        <v>18052.096986339966</v>
      </c>
      <c r="R71" s="608"/>
    </row>
    <row r="72" spans="1:19" s="129" customFormat="1" hidden="1" outlineLevel="2" x14ac:dyDescent="0.45">
      <c r="A72" s="92" t="s">
        <v>69</v>
      </c>
      <c r="B72" s="86">
        <v>4.5788473717542751E-2</v>
      </c>
      <c r="C72" s="87">
        <f>(SUM('County Dist Support Svc Acct'!C72/12)*10)+(SUM('SMC Prior Year Receipts'!C72/12)*2)</f>
        <v>367626.24888513971</v>
      </c>
      <c r="D72" s="85">
        <f t="shared" si="15"/>
        <v>364343.30570821022</v>
      </c>
      <c r="E72" s="87">
        <f>'SMC Prior Year Receipts'!O72</f>
        <v>37582.707507078449</v>
      </c>
      <c r="F72" s="87">
        <f>'SMC Prior Year Receipts'!P72+'SMC Prior Year Receipts'!S72</f>
        <v>10656.221116993282</v>
      </c>
      <c r="G72" s="87">
        <f>'County Dist Support Svc Acct'!E72</f>
        <v>28647.720857789373</v>
      </c>
      <c r="H72" s="87">
        <f>'County Dist Support Svc Acct'!F72</f>
        <v>28689.327381030136</v>
      </c>
      <c r="I72" s="87">
        <f>'County Dist Support Svc Acct'!G72</f>
        <v>37501.640663011873</v>
      </c>
      <c r="J72" s="87">
        <f>'County Dist Support Svc Acct'!H72</f>
        <v>28542.046852403219</v>
      </c>
      <c r="K72" s="87">
        <f>'County Dist Support Svc Acct'!I72</f>
        <v>30061.113163463277</v>
      </c>
      <c r="L72" s="87">
        <f>'County Dist Support Svc Acct'!J72</f>
        <v>44411.003105222117</v>
      </c>
      <c r="M72" s="87">
        <f>'County Dist Support Svc Acct'!K72</f>
        <v>27899.396771073043</v>
      </c>
      <c r="N72" s="87">
        <f>'County Dist Support Svc Acct'!L72</f>
        <v>23867.475826037185</v>
      </c>
      <c r="O72" s="87">
        <f>'County Dist Support Svc Acct'!M72</f>
        <v>38501.13003949335</v>
      </c>
      <c r="P72" s="93">
        <f>'County Dist Support Svc Acct'!N72</f>
        <v>27983.522424614963</v>
      </c>
      <c r="R72" s="608"/>
    </row>
    <row r="73" spans="1:19" s="129" customFormat="1" hidden="1" outlineLevel="2" x14ac:dyDescent="0.45">
      <c r="A73" s="96" t="s">
        <v>70</v>
      </c>
      <c r="B73" s="97">
        <v>0.92467350187426189</v>
      </c>
      <c r="C73" s="98">
        <f>(SUM('County Dist Support Svc Acct'!C73/12)*10)+(SUM('SMC Prior Year Receipts'!C73/12)*2)</f>
        <v>7424013.5854819603</v>
      </c>
      <c r="D73" s="85">
        <f t="shared" si="15"/>
        <v>7357716.3207469163</v>
      </c>
      <c r="E73" s="98">
        <f>'SMC Prior Year Receipts'!O73</f>
        <v>758962.48420204606</v>
      </c>
      <c r="F73" s="98">
        <f>'SMC Prior Year Receipts'!P73+'SMC Prior Year Receipts'!S73</f>
        <v>215196.63131338437</v>
      </c>
      <c r="G73" s="98">
        <f>'County Dist Support Svc Acct'!E73</f>
        <v>578525.25353208068</v>
      </c>
      <c r="H73" s="98">
        <f>'County Dist Support Svc Acct'!F73</f>
        <v>579365.47480224515</v>
      </c>
      <c r="I73" s="98">
        <f>'County Dist Support Svc Acct'!G73</f>
        <v>757325.38306058082</v>
      </c>
      <c r="J73" s="98">
        <f>'County Dist Support Svc Acct'!H73</f>
        <v>576391.22405513714</v>
      </c>
      <c r="K73" s="98">
        <f>'County Dist Support Svc Acct'!I73</f>
        <v>607067.9479418511</v>
      </c>
      <c r="L73" s="98">
        <f>'County Dist Support Svc Acct'!J73</f>
        <v>896856.22666477144</v>
      </c>
      <c r="M73" s="98">
        <f>'County Dist Support Svc Acct'!K73</f>
        <v>563413.25268074544</v>
      </c>
      <c r="N73" s="98">
        <f>'County Dist Support Svc Acct'!L73</f>
        <v>481990.7863516676</v>
      </c>
      <c r="O73" s="98">
        <f>'County Dist Support Svc Acct'!M73</f>
        <v>777509.53131453681</v>
      </c>
      <c r="P73" s="99">
        <f>'County Dist Support Svc Acct'!N73</f>
        <v>565112.12482786982</v>
      </c>
      <c r="R73" s="609"/>
    </row>
    <row r="74" spans="1:19" s="129" customFormat="1" hidden="1" outlineLevel="2" x14ac:dyDescent="0.45">
      <c r="A74" s="94" t="s">
        <v>76</v>
      </c>
      <c r="B74" s="95">
        <f t="shared" ref="B74:P74" si="16">SUM(B71:B73)</f>
        <v>1</v>
      </c>
      <c r="C74" s="100">
        <f t="shared" si="16"/>
        <v>8028794.5641719988</v>
      </c>
      <c r="D74" s="100">
        <f t="shared" si="16"/>
        <v>7957096.5382194184</v>
      </c>
      <c r="E74" s="100">
        <f t="shared" si="16"/>
        <v>820789.69783785439</v>
      </c>
      <c r="F74" s="100">
        <f t="shared" si="16"/>
        <v>232727.15274871915</v>
      </c>
      <c r="G74" s="100">
        <f t="shared" si="16"/>
        <v>625653.54404494353</v>
      </c>
      <c r="H74" s="100">
        <f t="shared" si="16"/>
        <v>626562.21209746308</v>
      </c>
      <c r="I74" s="100">
        <f t="shared" si="16"/>
        <v>819019.23384364787</v>
      </c>
      <c r="J74" s="100">
        <f t="shared" si="16"/>
        <v>623345.67053865409</v>
      </c>
      <c r="K74" s="100">
        <f t="shared" si="16"/>
        <v>656521.4064330362</v>
      </c>
      <c r="L74" s="100">
        <f t="shared" si="16"/>
        <v>969916.65149579139</v>
      </c>
      <c r="M74" s="100">
        <f t="shared" si="16"/>
        <v>609310.47719950671</v>
      </c>
      <c r="N74" s="100">
        <f t="shared" si="16"/>
        <v>521255.10828924918</v>
      </c>
      <c r="O74" s="100">
        <f t="shared" si="16"/>
        <v>840847.63945172878</v>
      </c>
      <c r="P74" s="101">
        <f t="shared" si="16"/>
        <v>611147.7442388247</v>
      </c>
      <c r="R74" s="610"/>
    </row>
    <row r="75" spans="1:19" hidden="1" outlineLevel="1" collapsed="1" x14ac:dyDescent="0.45">
      <c r="A75" s="79" t="s">
        <v>67</v>
      </c>
      <c r="B75" s="74">
        <v>0.25184180634685249</v>
      </c>
      <c r="C75" s="75">
        <f>(SUM('County Dist Support Svc Acct'!C75/12)*10)+(SUM('SMC Prior Year Receipts'!C75/12)*2)</f>
        <v>2702618.4341520108</v>
      </c>
      <c r="D75" s="76">
        <f>SUM(E75:P75)</f>
        <v>2678483.7517805812</v>
      </c>
      <c r="E75" s="77">
        <f>'SMC Prior Year Receipts'!O75</f>
        <v>276290.71216214553</v>
      </c>
      <c r="F75" s="77">
        <f>'SMC Prior Year Receipts'!P75+'SMC Prior Year Receipts'!S75</f>
        <v>78339.617251280913</v>
      </c>
      <c r="G75" s="77">
        <f>'County Dist Support Svc Acct'!E75</f>
        <v>210604.81595505646</v>
      </c>
      <c r="H75" s="77">
        <f>'County Dist Support Svc Acct'!F75</f>
        <v>210910.68790253697</v>
      </c>
      <c r="I75" s="77">
        <f>'County Dist Support Svc Acct'!G75</f>
        <v>275694.74615635216</v>
      </c>
      <c r="J75" s="77">
        <f>'County Dist Support Svc Acct'!H75</f>
        <v>209827.94946134606</v>
      </c>
      <c r="K75" s="77">
        <f>'County Dist Support Svc Acct'!I75</f>
        <v>220995.42356696387</v>
      </c>
      <c r="L75" s="77">
        <f>'County Dist Support Svc Acct'!J75</f>
        <v>326489.18850420864</v>
      </c>
      <c r="M75" s="77">
        <f>'County Dist Support Svc Acct'!K75</f>
        <v>205103.48280049325</v>
      </c>
      <c r="N75" s="77">
        <f>'County Dist Support Svc Acct'!L75</f>
        <v>175462.66171075092</v>
      </c>
      <c r="O75" s="77">
        <f>'County Dist Support Svc Acct'!M75</f>
        <v>283042.53054827108</v>
      </c>
      <c r="P75" s="78">
        <f>'County Dist Support Svc Acct'!N75</f>
        <v>205721.93576117538</v>
      </c>
      <c r="R75" s="606"/>
    </row>
    <row r="76" spans="1:19" ht="14.65" hidden="1" outlineLevel="1" thickBot="1" x14ac:dyDescent="0.5">
      <c r="A76" s="102" t="s">
        <v>78</v>
      </c>
      <c r="B76" s="80">
        <f>B69+B75</f>
        <v>1</v>
      </c>
      <c r="C76" s="70">
        <f t="shared" ref="C76:P76" si="17">+C69+C75</f>
        <v>10731412.998324011</v>
      </c>
      <c r="D76" s="70">
        <f>+D69+D75</f>
        <v>10635580.290000001</v>
      </c>
      <c r="E76" s="70">
        <f t="shared" si="17"/>
        <v>1097080.4099999999</v>
      </c>
      <c r="F76" s="70">
        <f t="shared" si="17"/>
        <v>311066.77</v>
      </c>
      <c r="G76" s="70">
        <f t="shared" si="17"/>
        <v>836258.36</v>
      </c>
      <c r="H76" s="70">
        <f t="shared" si="17"/>
        <v>837472.9</v>
      </c>
      <c r="I76" s="70">
        <f t="shared" si="17"/>
        <v>1094713.98</v>
      </c>
      <c r="J76" s="70">
        <f t="shared" si="17"/>
        <v>833173.62</v>
      </c>
      <c r="K76" s="70">
        <f t="shared" si="17"/>
        <v>877516.83</v>
      </c>
      <c r="L76" s="70">
        <f t="shared" si="17"/>
        <v>1296405.8400000001</v>
      </c>
      <c r="M76" s="70">
        <f t="shared" si="17"/>
        <v>814413.96</v>
      </c>
      <c r="N76" s="70">
        <f t="shared" si="17"/>
        <v>696717.77</v>
      </c>
      <c r="O76" s="70">
        <f t="shared" si="17"/>
        <v>1123890.17</v>
      </c>
      <c r="P76" s="81">
        <f t="shared" si="17"/>
        <v>816869.68</v>
      </c>
      <c r="R76" s="611"/>
    </row>
    <row r="77" spans="1:19" ht="14.65" hidden="1" collapsed="1" thickBot="1" x14ac:dyDescent="0.5">
      <c r="A77" s="55" t="s">
        <v>79</v>
      </c>
      <c r="B77" s="51">
        <f t="shared" ref="B77:P77" si="18">B61+B67</f>
        <v>1</v>
      </c>
      <c r="C77" s="59">
        <f t="shared" si="18"/>
        <v>13464079.795349915</v>
      </c>
      <c r="D77" s="59">
        <f t="shared" si="18"/>
        <v>14134590.629999999</v>
      </c>
      <c r="E77" s="209">
        <f t="shared" si="18"/>
        <v>1376442.99</v>
      </c>
      <c r="F77" s="209">
        <f t="shared" si="18"/>
        <v>1181023.96</v>
      </c>
      <c r="G77" s="209">
        <f t="shared" si="18"/>
        <v>1049204.73</v>
      </c>
      <c r="H77" s="209">
        <f t="shared" si="18"/>
        <v>1050728.54</v>
      </c>
      <c r="I77" s="209">
        <f t="shared" si="18"/>
        <v>1373473.97</v>
      </c>
      <c r="J77" s="209">
        <f t="shared" si="18"/>
        <v>1045334.49</v>
      </c>
      <c r="K77" s="209">
        <f t="shared" si="18"/>
        <v>1100969.33</v>
      </c>
      <c r="L77" s="209">
        <f t="shared" si="18"/>
        <v>1626525.01</v>
      </c>
      <c r="M77" s="209">
        <f t="shared" si="18"/>
        <v>1021797.83</v>
      </c>
      <c r="N77" s="209">
        <f t="shared" si="18"/>
        <v>874131.27</v>
      </c>
      <c r="O77" s="209">
        <f t="shared" si="18"/>
        <v>1410079.63</v>
      </c>
      <c r="P77" s="210">
        <f t="shared" si="18"/>
        <v>1024878.8800000001</v>
      </c>
      <c r="R77" s="612">
        <f>R61+R67</f>
        <v>1</v>
      </c>
      <c r="S77" s="210">
        <f>S61+S67</f>
        <v>0</v>
      </c>
    </row>
    <row r="78" spans="1:19" hidden="1" x14ac:dyDescent="0.45"/>
    <row r="79" spans="1:19" hidden="1" x14ac:dyDescent="0.45"/>
    <row r="80" spans="1:19" hidden="1" x14ac:dyDescent="0.45">
      <c r="A80" t="s">
        <v>47</v>
      </c>
      <c r="C80" s="39">
        <f>C16</f>
        <v>0</v>
      </c>
    </row>
    <row r="81" spans="1:16" hidden="1" x14ac:dyDescent="0.45"/>
    <row r="82" spans="1:16" ht="14.65" hidden="1" thickBot="1" x14ac:dyDescent="0.5">
      <c r="A82" s="55" t="s">
        <v>23</v>
      </c>
      <c r="B82" s="211">
        <v>1</v>
      </c>
      <c r="C82" s="62">
        <f>(SUM('County Dist Support Svc Acct'!C82/12)*10)+(SUM('SMC Prior Year Receipts'!C82/12)*2)</f>
        <v>0</v>
      </c>
      <c r="D82" s="66">
        <f>SUM(E82:P82)</f>
        <v>0</v>
      </c>
      <c r="E82" s="63">
        <f>'SMC Prior Year Receipts'!O82</f>
        <v>0</v>
      </c>
      <c r="F82" s="63">
        <f>'SMC Prior Year Receipts'!P82+'SMC Prior Year Receipts'!S82</f>
        <v>0</v>
      </c>
      <c r="G82" s="63">
        <f>'County Dist Support Svc Acct'!E82</f>
        <v>0</v>
      </c>
      <c r="H82" s="63">
        <f>'County Dist Support Svc Acct'!F82</f>
        <v>0</v>
      </c>
      <c r="I82" s="63">
        <f>'County Dist Support Svc Acct'!G82</f>
        <v>0</v>
      </c>
      <c r="J82" s="63">
        <f>'County Dist Support Svc Acct'!H82</f>
        <v>0</v>
      </c>
      <c r="K82" s="63">
        <f>'County Dist Support Svc Acct'!I82</f>
        <v>0</v>
      </c>
      <c r="L82" s="63">
        <f>'County Dist Support Svc Acct'!J82</f>
        <v>0</v>
      </c>
      <c r="M82" s="63">
        <f>'County Dist Support Svc Acct'!K82</f>
        <v>0</v>
      </c>
      <c r="N82" s="63">
        <f>'County Dist Support Svc Acct'!L82</f>
        <v>0</v>
      </c>
      <c r="O82" s="63">
        <f>'County Dist Support Svc Acct'!M82</f>
        <v>0</v>
      </c>
      <c r="P82" s="64">
        <f>'County Dist Support Svc Acct'!N82</f>
        <v>0</v>
      </c>
    </row>
    <row r="83" spans="1:16" hidden="1" x14ac:dyDescent="0.45"/>
    <row r="84" spans="1:16" hidden="1" x14ac:dyDescent="0.45"/>
    <row r="85" spans="1:16" hidden="1" x14ac:dyDescent="0.45"/>
  </sheetData>
  <dataValidations count="1">
    <dataValidation allowBlank="1" showInputMessage="1" showErrorMessage="1" prompt="Please spell out the month, do not abbreviate" sqref="D1"/>
  </dataValidations>
  <hyperlinks>
    <hyperlink ref="A5" r:id="rId1" display="Protective Services"/>
    <hyperlink ref="A6" r:id="rId2" display="Behavioral Health"/>
    <hyperlink ref="A7" r:id="rId3" display="WCRTS"/>
    <hyperlink ref="A14" r:id="rId4"/>
    <hyperlink ref="A15" r:id="rId5" display="Behavioral Health"/>
    <hyperlink ref="A16" r:id="rId6" display="WCRTS"/>
  </hyperlinks>
  <pageMargins left="0.5" right="0.5" top="0.5" bottom="0.5" header="0.25" footer="0"/>
  <pageSetup paperSize="5" scale="62" orientation="landscape" r:id="rId7"/>
  <headerFooter alignWithMargins="0">
    <oddHeader>&amp;C&amp;"Calibri,Bold"&amp;14&amp;A</oddHeader>
    <oddFooter>&amp;L&amp;Z&amp;F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K37"/>
  <sheetViews>
    <sheetView topLeftCell="A10" workbookViewId="0">
      <selection activeCell="F37" sqref="F37"/>
    </sheetView>
  </sheetViews>
  <sheetFormatPr defaultRowHeight="14.25" x14ac:dyDescent="0.45"/>
  <sheetData>
    <row r="1" spans="1:11" ht="18" x14ac:dyDescent="0.55000000000000004">
      <c r="A1" s="730" t="s">
        <v>125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</row>
    <row r="2" spans="1:11" ht="18" x14ac:dyDescent="0.55000000000000004">
      <c r="A2" s="730"/>
      <c r="B2" s="730"/>
      <c r="C2" s="730"/>
      <c r="D2" s="730"/>
      <c r="E2" s="730"/>
      <c r="F2" s="730"/>
      <c r="G2" s="730"/>
      <c r="H2" s="730"/>
      <c r="I2" s="730"/>
      <c r="J2" s="730"/>
      <c r="K2" s="730"/>
    </row>
    <row r="4" spans="1:11" x14ac:dyDescent="0.45">
      <c r="B4" s="24" t="s">
        <v>132</v>
      </c>
      <c r="C4" s="24"/>
      <c r="D4" s="24"/>
      <c r="E4" s="24" t="s">
        <v>337</v>
      </c>
      <c r="F4" s="24"/>
    </row>
    <row r="5" spans="1:11" x14ac:dyDescent="0.45">
      <c r="B5" s="24" t="s">
        <v>134</v>
      </c>
      <c r="D5" s="24"/>
      <c r="E5" s="24" t="s">
        <v>329</v>
      </c>
      <c r="F5" s="24"/>
    </row>
    <row r="6" spans="1:11" x14ac:dyDescent="0.45">
      <c r="B6" s="24" t="s">
        <v>330</v>
      </c>
      <c r="D6" s="24"/>
      <c r="E6" s="339" t="s">
        <v>328</v>
      </c>
      <c r="F6" s="321" t="s">
        <v>326</v>
      </c>
    </row>
    <row r="7" spans="1:11" x14ac:dyDescent="0.45">
      <c r="B7" s="24"/>
      <c r="D7" s="24"/>
      <c r="E7" s="339" t="s">
        <v>331</v>
      </c>
      <c r="F7" s="321" t="s">
        <v>327</v>
      </c>
    </row>
    <row r="8" spans="1:11" x14ac:dyDescent="0.45">
      <c r="B8" s="24"/>
      <c r="D8" s="24"/>
    </row>
    <row r="9" spans="1:11" x14ac:dyDescent="0.45">
      <c r="B9" s="24"/>
      <c r="D9" s="24"/>
      <c r="E9" s="24"/>
      <c r="F9" s="24"/>
    </row>
    <row r="10" spans="1:11" x14ac:dyDescent="0.45">
      <c r="B10" s="322" t="s">
        <v>340</v>
      </c>
    </row>
    <row r="11" spans="1:11" x14ac:dyDescent="0.45">
      <c r="B11" s="322" t="s">
        <v>341</v>
      </c>
    </row>
    <row r="12" spans="1:11" x14ac:dyDescent="0.45">
      <c r="B12" s="322" t="s">
        <v>343</v>
      </c>
    </row>
    <row r="13" spans="1:11" x14ac:dyDescent="0.45">
      <c r="B13" s="322" t="s">
        <v>332</v>
      </c>
    </row>
    <row r="14" spans="1:11" x14ac:dyDescent="0.45">
      <c r="B14" s="322" t="s">
        <v>333</v>
      </c>
    </row>
    <row r="15" spans="1:11" x14ac:dyDescent="0.45">
      <c r="B15" s="322" t="s">
        <v>335</v>
      </c>
    </row>
    <row r="16" spans="1:11" x14ac:dyDescent="0.45">
      <c r="B16" s="322" t="s">
        <v>336</v>
      </c>
    </row>
    <row r="17" spans="2:2" x14ac:dyDescent="0.45">
      <c r="B17" s="322" t="s">
        <v>126</v>
      </c>
    </row>
    <row r="18" spans="2:2" x14ac:dyDescent="0.45">
      <c r="B18" s="322" t="s">
        <v>128</v>
      </c>
    </row>
    <row r="19" spans="2:2" x14ac:dyDescent="0.45">
      <c r="B19" s="322" t="s">
        <v>127</v>
      </c>
    </row>
    <row r="20" spans="2:2" x14ac:dyDescent="0.45">
      <c r="B20" s="322" t="s">
        <v>129</v>
      </c>
    </row>
    <row r="21" spans="2:2" x14ac:dyDescent="0.45">
      <c r="B21" s="322" t="s">
        <v>130</v>
      </c>
    </row>
    <row r="22" spans="2:2" x14ac:dyDescent="0.45">
      <c r="B22" s="322" t="s">
        <v>131</v>
      </c>
    </row>
    <row r="26" spans="2:2" x14ac:dyDescent="0.45">
      <c r="B26" t="s">
        <v>338</v>
      </c>
    </row>
    <row r="27" spans="2:2" x14ac:dyDescent="0.45">
      <c r="B27" s="322" t="s">
        <v>339</v>
      </c>
    </row>
    <row r="28" spans="2:2" x14ac:dyDescent="0.45">
      <c r="B28" s="322" t="s">
        <v>344</v>
      </c>
    </row>
    <row r="29" spans="2:2" x14ac:dyDescent="0.45">
      <c r="B29" s="322"/>
    </row>
    <row r="30" spans="2:2" x14ac:dyDescent="0.45">
      <c r="B30" s="322"/>
    </row>
    <row r="31" spans="2:2" x14ac:dyDescent="0.45">
      <c r="B31" s="322"/>
    </row>
    <row r="32" spans="2:2" x14ac:dyDescent="0.45">
      <c r="B32" s="322"/>
    </row>
    <row r="33" spans="2:2" x14ac:dyDescent="0.45">
      <c r="B33" s="322"/>
    </row>
    <row r="34" spans="2:2" x14ac:dyDescent="0.45">
      <c r="B34" s="322"/>
    </row>
    <row r="35" spans="2:2" x14ac:dyDescent="0.45">
      <c r="B35" s="322"/>
    </row>
    <row r="36" spans="2:2" x14ac:dyDescent="0.45">
      <c r="B36" s="322"/>
    </row>
    <row r="37" spans="2:2" x14ac:dyDescent="0.45">
      <c r="B37" s="322"/>
    </row>
  </sheetData>
  <mergeCells count="2">
    <mergeCell ref="A1:K1"/>
    <mergeCell ref="A2:K2"/>
  </mergeCells>
  <hyperlinks>
    <hyperlink ref="F6" r:id="rId1"/>
    <hyperlink ref="F7" r:id="rId2"/>
  </hyperlinks>
  <pageMargins left="0.25" right="0.25" top="1" bottom="1" header="0.5" footer="0"/>
  <pageSetup orientation="portrait" r:id="rId3"/>
  <headerFooter alignWithMargins="0">
    <oddFooter>&amp;L&amp;8&amp;Z&amp;F &amp;A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K21"/>
  <sheetViews>
    <sheetView workbookViewId="0">
      <selection activeCell="M22" sqref="M22"/>
    </sheetView>
  </sheetViews>
  <sheetFormatPr defaultRowHeight="14.25" x14ac:dyDescent="0.45"/>
  <sheetData>
    <row r="1" spans="1:11" ht="18" x14ac:dyDescent="0.55000000000000004">
      <c r="A1" s="730" t="s">
        <v>125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</row>
    <row r="2" spans="1:11" ht="18" x14ac:dyDescent="0.55000000000000004">
      <c r="A2" s="730"/>
      <c r="B2" s="730"/>
      <c r="C2" s="730"/>
      <c r="D2" s="730"/>
      <c r="E2" s="730"/>
      <c r="F2" s="730"/>
      <c r="G2" s="730"/>
      <c r="H2" s="730"/>
      <c r="I2" s="730"/>
      <c r="J2" s="730"/>
      <c r="K2" s="730"/>
    </row>
    <row r="4" spans="1:11" x14ac:dyDescent="0.45">
      <c r="B4" s="24" t="s">
        <v>132</v>
      </c>
      <c r="C4" s="24"/>
      <c r="D4" s="24"/>
      <c r="E4" s="24" t="s">
        <v>133</v>
      </c>
      <c r="F4" s="24"/>
    </row>
    <row r="5" spans="1:11" x14ac:dyDescent="0.45">
      <c r="B5" s="24" t="s">
        <v>134</v>
      </c>
      <c r="D5" s="24"/>
      <c r="E5" s="24" t="s">
        <v>329</v>
      </c>
      <c r="F5" s="24"/>
    </row>
    <row r="6" spans="1:11" x14ac:dyDescent="0.45">
      <c r="B6" s="24" t="s">
        <v>330</v>
      </c>
      <c r="D6" s="24"/>
      <c r="E6" s="339" t="s">
        <v>328</v>
      </c>
      <c r="F6" s="321" t="s">
        <v>326</v>
      </c>
    </row>
    <row r="7" spans="1:11" x14ac:dyDescent="0.45">
      <c r="B7" s="24"/>
      <c r="D7" s="24"/>
      <c r="E7" s="339" t="s">
        <v>331</v>
      </c>
      <c r="F7" s="321" t="s">
        <v>327</v>
      </c>
    </row>
    <row r="8" spans="1:11" x14ac:dyDescent="0.45">
      <c r="B8" s="24"/>
      <c r="D8" s="24"/>
    </row>
    <row r="9" spans="1:11" x14ac:dyDescent="0.45">
      <c r="B9" s="24"/>
      <c r="D9" s="24"/>
      <c r="E9" s="24"/>
      <c r="F9" s="24"/>
    </row>
    <row r="10" spans="1:11" x14ac:dyDescent="0.45">
      <c r="B10" s="322" t="s">
        <v>334</v>
      </c>
    </row>
    <row r="11" spans="1:11" x14ac:dyDescent="0.45">
      <c r="B11" s="322" t="s">
        <v>332</v>
      </c>
    </row>
    <row r="12" spans="1:11" x14ac:dyDescent="0.45">
      <c r="B12" s="322" t="s">
        <v>333</v>
      </c>
    </row>
    <row r="13" spans="1:11" x14ac:dyDescent="0.45">
      <c r="B13" s="322" t="s">
        <v>335</v>
      </c>
    </row>
    <row r="14" spans="1:11" x14ac:dyDescent="0.45">
      <c r="B14" s="322" t="s">
        <v>342</v>
      </c>
    </row>
    <row r="15" spans="1:11" x14ac:dyDescent="0.45">
      <c r="B15" s="322" t="s">
        <v>336</v>
      </c>
    </row>
    <row r="16" spans="1:11" x14ac:dyDescent="0.45">
      <c r="B16" s="322" t="s">
        <v>126</v>
      </c>
    </row>
    <row r="17" spans="2:2" x14ac:dyDescent="0.45">
      <c r="B17" s="322" t="s">
        <v>128</v>
      </c>
    </row>
    <row r="18" spans="2:2" x14ac:dyDescent="0.45">
      <c r="B18" s="322" t="s">
        <v>127</v>
      </c>
    </row>
    <row r="19" spans="2:2" x14ac:dyDescent="0.45">
      <c r="B19" s="322" t="s">
        <v>129</v>
      </c>
    </row>
    <row r="20" spans="2:2" x14ac:dyDescent="0.45">
      <c r="B20" s="322" t="s">
        <v>130</v>
      </c>
    </row>
    <row r="21" spans="2:2" x14ac:dyDescent="0.45">
      <c r="B21" s="322" t="s">
        <v>131</v>
      </c>
    </row>
  </sheetData>
  <mergeCells count="2">
    <mergeCell ref="A1:K1"/>
    <mergeCell ref="A2:K2"/>
  </mergeCells>
  <phoneticPr fontId="18" type="noConversion"/>
  <hyperlinks>
    <hyperlink ref="F6" r:id="rId1"/>
    <hyperlink ref="F7" r:id="rId2"/>
  </hyperlinks>
  <pageMargins left="0.25" right="0.25" top="1" bottom="1" header="0.5" footer="0"/>
  <pageSetup orientation="portrait" r:id="rId3"/>
  <headerFooter alignWithMargins="0">
    <oddFooter>&amp;L&amp;8&amp;Z&amp;F &amp;A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0"/>
  <sheetViews>
    <sheetView topLeftCell="A70" workbookViewId="0">
      <selection activeCell="G331" sqref="G331"/>
    </sheetView>
  </sheetViews>
  <sheetFormatPr defaultColWidth="9.1328125" defaultRowHeight="14.25" outlineLevelRow="1" x14ac:dyDescent="0.45"/>
  <cols>
    <col min="1" max="1" width="27.59765625" style="2" customWidth="1"/>
    <col min="2" max="2" width="15.265625" style="2" bestFit="1" customWidth="1"/>
    <col min="3" max="4" width="15" style="2" customWidth="1"/>
    <col min="5" max="5" width="5.1328125" style="2" customWidth="1"/>
    <col min="6" max="6" width="18" style="2" customWidth="1"/>
    <col min="7" max="7" width="15.73046875" style="2" customWidth="1"/>
    <col min="8" max="8" width="15.86328125" style="2" customWidth="1"/>
    <col min="9" max="9" width="9.1328125" style="2"/>
    <col min="10" max="10" width="13.265625" style="2" bestFit="1" customWidth="1"/>
    <col min="11" max="16384" width="9.1328125" style="2"/>
  </cols>
  <sheetData>
    <row r="1" spans="1:8" ht="15.75" customHeight="1" thickBot="1" x14ac:dyDescent="0.5">
      <c r="A1" s="172"/>
      <c r="B1" s="172" t="s">
        <v>100</v>
      </c>
      <c r="C1" s="174" t="s">
        <v>345</v>
      </c>
      <c r="D1" s="179"/>
    </row>
    <row r="2" spans="1:8" ht="16.149999999999999" thickBot="1" x14ac:dyDescent="0.5">
      <c r="A2" s="1"/>
      <c r="B2" s="173" t="s">
        <v>97</v>
      </c>
      <c r="C2" s="175" t="s">
        <v>234</v>
      </c>
      <c r="D2" s="180"/>
      <c r="E2" s="169"/>
    </row>
    <row r="3" spans="1:8" ht="15.75" x14ac:dyDescent="0.45">
      <c r="A3" s="1"/>
      <c r="B3" s="5"/>
      <c r="C3" s="1"/>
      <c r="D3" s="181"/>
    </row>
    <row r="4" spans="1:8" ht="15" customHeight="1" x14ac:dyDescent="0.45">
      <c r="A4" s="733" t="s">
        <v>237</v>
      </c>
      <c r="B4" s="733"/>
      <c r="C4" s="733"/>
      <c r="D4" s="733"/>
      <c r="E4" s="733"/>
      <c r="F4" s="733"/>
      <c r="G4" s="733"/>
    </row>
    <row r="5" spans="1:8" ht="8.25" customHeight="1" x14ac:dyDescent="0.45">
      <c r="A5" s="351"/>
      <c r="B5" s="351"/>
      <c r="C5" s="351"/>
      <c r="D5" s="351"/>
      <c r="E5" s="351"/>
      <c r="F5" s="351"/>
      <c r="G5" s="351"/>
    </row>
    <row r="6" spans="1:8" ht="8.25" customHeight="1" thickBot="1" x14ac:dyDescent="0.5">
      <c r="A6" s="733"/>
      <c r="B6" s="733"/>
      <c r="C6" s="733"/>
      <c r="D6" s="733"/>
      <c r="E6" s="733"/>
      <c r="F6" s="733"/>
      <c r="G6" s="733"/>
    </row>
    <row r="7" spans="1:8" ht="15.75" customHeight="1" thickBot="1" x14ac:dyDescent="0.5">
      <c r="B7" s="3" t="s">
        <v>98</v>
      </c>
      <c r="C7" s="344">
        <f>+B20/B35</f>
        <v>0.64494122867705139</v>
      </c>
      <c r="D7" s="182"/>
      <c r="F7" s="142"/>
    </row>
    <row r="8" spans="1:8" ht="16.149999999999999" thickBot="1" x14ac:dyDescent="0.5">
      <c r="B8" s="5"/>
      <c r="F8" s="142"/>
    </row>
    <row r="9" spans="1:8" ht="65.25" customHeight="1" thickBot="1" x14ac:dyDescent="0.5">
      <c r="A9" s="201" t="s">
        <v>1</v>
      </c>
      <c r="B9" s="156" t="s">
        <v>2</v>
      </c>
      <c r="C9" s="158" t="s">
        <v>96</v>
      </c>
      <c r="D9" s="202" t="s">
        <v>101</v>
      </c>
      <c r="F9" s="226" t="str">
        <f>CONCATENATE(C2," ","County Portion (% Of Alloc Per CFL 12/13-16 &amp; BH Spreadsheet" )</f>
        <v>San Mateo County Portion (% Of Alloc Per CFL 12/13-16 &amp; BH Spreadsheet</v>
      </c>
      <c r="G9" s="227" t="str">
        <f>CONCATENATE(C2," ","County Portion")</f>
        <v>San Mateo County Portion</v>
      </c>
      <c r="H9" s="17"/>
    </row>
    <row r="10" spans="1:8" ht="6.75" customHeight="1" thickBot="1" x14ac:dyDescent="0.5">
      <c r="A10" s="155"/>
      <c r="B10" s="161"/>
      <c r="C10" s="161"/>
      <c r="D10" s="162"/>
      <c r="F10" s="151"/>
      <c r="G10" s="152"/>
      <c r="H10" s="169"/>
    </row>
    <row r="11" spans="1:8" x14ac:dyDescent="0.45">
      <c r="A11" s="466" t="s">
        <v>83</v>
      </c>
      <c r="B11" s="464">
        <v>2258027908.91605</v>
      </c>
      <c r="C11" s="468">
        <f>+B11/B20</f>
        <v>0.62867065617841666</v>
      </c>
      <c r="D11" s="472">
        <f>B11/B$35</f>
        <v>0.40545562542891617</v>
      </c>
      <c r="F11" s="445">
        <f>SUMIF($A$73:$A$131,$C$2,B$73:B$131)</f>
        <v>1.00915E-2</v>
      </c>
      <c r="G11" s="223">
        <f>B11*F11</f>
        <v>22786888.642826319</v>
      </c>
      <c r="H11" s="170"/>
    </row>
    <row r="12" spans="1:8" x14ac:dyDescent="0.45">
      <c r="A12" s="711" t="s">
        <v>84</v>
      </c>
      <c r="B12" s="465">
        <f>1333722217.68-B13</f>
        <v>1328618217.6800001</v>
      </c>
      <c r="C12" s="469">
        <f>B12/B20</f>
        <v>0.3699083095569205</v>
      </c>
      <c r="D12" s="473">
        <f>B12/B$35</f>
        <v>0.23856911966349137</v>
      </c>
      <c r="F12" s="445">
        <f>SUMIF($A$73:$A$131,$C$2,F$73:F$131)</f>
        <v>1.0260501999999999E-2</v>
      </c>
      <c r="G12" s="223">
        <f>B12*F12</f>
        <v>13632289.879742075</v>
      </c>
      <c r="H12" s="170"/>
    </row>
    <row r="13" spans="1:8" ht="14.65" thickBot="1" x14ac:dyDescent="0.5">
      <c r="A13" s="467" t="s">
        <v>88</v>
      </c>
      <c r="B13" s="465">
        <v>5104000</v>
      </c>
      <c r="C13" s="469">
        <f>B13/B20</f>
        <v>1.4210342646628175E-3</v>
      </c>
      <c r="D13" s="473">
        <f>B13/B$35</f>
        <v>9.1648358464382776E-4</v>
      </c>
      <c r="F13" s="445">
        <f>SUMIF(A$14:A$19,C$2,C$14:C$19)</f>
        <v>0</v>
      </c>
      <c r="G13" s="223">
        <f>B13*F13</f>
        <v>0</v>
      </c>
      <c r="H13" s="170"/>
    </row>
    <row r="14" spans="1:8" outlineLevel="1" x14ac:dyDescent="0.35">
      <c r="A14" s="373" t="s">
        <v>253</v>
      </c>
      <c r="B14" s="549">
        <v>687665</v>
      </c>
      <c r="C14" s="470">
        <f t="shared" ref="C14:C19" si="0">B14/B$13</f>
        <v>0.13473060344827587</v>
      </c>
      <c r="D14" s="311"/>
      <c r="F14" s="460"/>
      <c r="G14" s="461"/>
      <c r="H14" s="170"/>
    </row>
    <row r="15" spans="1:8" outlineLevel="1" x14ac:dyDescent="0.35">
      <c r="A15" s="373" t="s">
        <v>254</v>
      </c>
      <c r="B15" s="549">
        <v>728485</v>
      </c>
      <c r="C15" s="470">
        <f t="shared" si="0"/>
        <v>0.14272825235109718</v>
      </c>
      <c r="D15" s="311"/>
      <c r="F15" s="460"/>
      <c r="G15" s="461"/>
      <c r="H15" s="170"/>
    </row>
    <row r="16" spans="1:8" outlineLevel="1" x14ac:dyDescent="0.35">
      <c r="A16" s="373" t="s">
        <v>255</v>
      </c>
      <c r="B16" s="549">
        <v>2132488</v>
      </c>
      <c r="C16" s="470">
        <f t="shared" si="0"/>
        <v>0.41780721003134796</v>
      </c>
      <c r="D16" s="311"/>
      <c r="F16" s="460"/>
      <c r="G16" s="461"/>
      <c r="H16" s="170"/>
    </row>
    <row r="17" spans="1:8" outlineLevel="1" x14ac:dyDescent="0.35">
      <c r="A17" s="373" t="s">
        <v>256</v>
      </c>
      <c r="B17" s="549">
        <v>553940</v>
      </c>
      <c r="C17" s="470">
        <f t="shared" si="0"/>
        <v>0.10853056426332289</v>
      </c>
      <c r="D17" s="311"/>
      <c r="F17" s="460"/>
      <c r="G17" s="461"/>
      <c r="H17" s="170"/>
    </row>
    <row r="18" spans="1:8" outlineLevel="1" x14ac:dyDescent="0.35">
      <c r="A18" s="373" t="s">
        <v>257</v>
      </c>
      <c r="B18" s="549">
        <v>182286</v>
      </c>
      <c r="C18" s="470">
        <f t="shared" si="0"/>
        <v>3.5714341692789968E-2</v>
      </c>
      <c r="D18" s="311"/>
      <c r="F18" s="460"/>
      <c r="G18" s="461"/>
      <c r="H18" s="170"/>
    </row>
    <row r="19" spans="1:8" ht="14.65" outlineLevel="1" thickBot="1" x14ac:dyDescent="0.4">
      <c r="A19" s="373" t="s">
        <v>258</v>
      </c>
      <c r="B19" s="549">
        <v>819136</v>
      </c>
      <c r="C19" s="470">
        <f t="shared" si="0"/>
        <v>0.16048902821316616</v>
      </c>
      <c r="D19" s="311"/>
      <c r="F19" s="460"/>
      <c r="G19" s="461"/>
      <c r="H19" s="170"/>
    </row>
    <row r="20" spans="1:8" ht="14.65" thickBot="1" x14ac:dyDescent="0.5">
      <c r="A20" s="196" t="s">
        <v>41</v>
      </c>
      <c r="B20" s="197">
        <f>SUM(B11:B13)</f>
        <v>3591750126.5960503</v>
      </c>
      <c r="C20" s="471">
        <f>SUM(C11:C13)</f>
        <v>1</v>
      </c>
      <c r="D20" s="312">
        <f>SUM(D11:D13)</f>
        <v>0.64494122867705128</v>
      </c>
      <c r="F20" s="167"/>
      <c r="G20" s="176">
        <f>SUM(G11:G13)</f>
        <v>36419178.52256839</v>
      </c>
      <c r="H20" s="171"/>
    </row>
    <row r="22" spans="1:8" ht="14.65" thickBot="1" x14ac:dyDescent="0.5"/>
    <row r="23" spans="1:8" ht="15.75" customHeight="1" thickBot="1" x14ac:dyDescent="0.5">
      <c r="B23" s="3" t="s">
        <v>99</v>
      </c>
      <c r="C23" s="344">
        <f>+B33/B35</f>
        <v>0.35505877132294861</v>
      </c>
      <c r="D23" s="182"/>
      <c r="F23" s="142"/>
    </row>
    <row r="24" spans="1:8" ht="15.75" customHeight="1" thickBot="1" x14ac:dyDescent="0.5">
      <c r="F24" s="142"/>
    </row>
    <row r="25" spans="1:8" ht="57.4" thickBot="1" x14ac:dyDescent="0.5">
      <c r="A25" s="201" t="s">
        <v>1</v>
      </c>
      <c r="B25" s="156" t="s">
        <v>2</v>
      </c>
      <c r="C25" s="158" t="s">
        <v>96</v>
      </c>
      <c r="D25" s="202" t="s">
        <v>101</v>
      </c>
      <c r="E25" s="15"/>
      <c r="F25" s="226" t="str">
        <f>CONCATENATE(C2," ","County Portion (% of Allocation)")</f>
        <v>San Mateo County Portion (% of Allocation)</v>
      </c>
      <c r="G25" s="227" t="str">
        <f>CONCATENATE(C2," ","County Portion")</f>
        <v>San Mateo County Portion</v>
      </c>
      <c r="H25" s="17"/>
    </row>
    <row r="26" spans="1:8" ht="5.25" customHeight="1" thickBot="1" x14ac:dyDescent="0.5">
      <c r="A26" s="163"/>
      <c r="B26" s="165"/>
      <c r="C26" s="165"/>
      <c r="D26" s="166"/>
      <c r="F26" s="153"/>
      <c r="G26" s="154"/>
      <c r="H26" s="169"/>
    </row>
    <row r="27" spans="1:8" ht="15.75" customHeight="1" x14ac:dyDescent="0.35">
      <c r="A27" s="120" t="s">
        <v>85</v>
      </c>
      <c r="B27" s="239">
        <v>550340286.53725004</v>
      </c>
      <c r="C27" s="296">
        <f>+B27/B33</f>
        <v>0.27832042867541995</v>
      </c>
      <c r="D27" s="313">
        <f>B27/B$35</f>
        <v>9.8820109439570966E-2</v>
      </c>
      <c r="F27" s="447">
        <f>SUMIF($A$147:$A$206,$C$2,B$147:B$206)</f>
        <v>2.0628000000000001E-2</v>
      </c>
      <c r="G27" s="177">
        <f>B27*F27</f>
        <v>11352419.430690395</v>
      </c>
      <c r="H27" s="169"/>
    </row>
    <row r="28" spans="1:8" x14ac:dyDescent="0.35">
      <c r="A28" s="120" t="s">
        <v>86</v>
      </c>
      <c r="B28" s="239">
        <v>1241062433.724375</v>
      </c>
      <c r="C28" s="296">
        <f>+B28/B33</f>
        <v>0.62763536854710811</v>
      </c>
      <c r="D28" s="313">
        <f>B28/B$35</f>
        <v>0.22284744279516225</v>
      </c>
      <c r="F28" s="448">
        <f>SUMIF($A$147:$A$206,$C$2,F$147:F$206)</f>
        <v>1.3149410702188823E-2</v>
      </c>
      <c r="G28" s="178">
        <f>B28*F28</f>
        <v>16319239.648099804</v>
      </c>
      <c r="H28" s="169"/>
    </row>
    <row r="29" spans="1:8" x14ac:dyDescent="0.35">
      <c r="A29" s="120" t="s">
        <v>87</v>
      </c>
      <c r="B29" s="239">
        <v>33244162.253625002</v>
      </c>
      <c r="C29" s="296">
        <f>+B29/B33</f>
        <v>1.6812379023896633E-2</v>
      </c>
      <c r="D29" s="313">
        <f>B29/B$35</f>
        <v>5.9693826392404536E-3</v>
      </c>
      <c r="F29" s="448">
        <f>SUMIF($A$219:$A$278,$C$2,B$219:B$278)</f>
        <v>1.24450137E-2</v>
      </c>
      <c r="G29" s="178">
        <f>B29*F29</f>
        <v>413724.054691386</v>
      </c>
      <c r="H29" s="169"/>
    </row>
    <row r="30" spans="1:8" x14ac:dyDescent="0.35">
      <c r="A30" s="120" t="s">
        <v>105</v>
      </c>
      <c r="B30" s="239">
        <v>152715286.53724998</v>
      </c>
      <c r="C30" s="296">
        <f>+B30/B33</f>
        <v>7.7231823753575263E-2</v>
      </c>
      <c r="D30" s="313">
        <f>B30/B$35</f>
        <v>2.7421836448974952E-2</v>
      </c>
      <c r="F30" s="449">
        <f>SUMIF($A$219:$A$278,$C$2,F$219:F$278)</f>
        <v>1.8040459862678979E-2</v>
      </c>
      <c r="G30" s="308">
        <f>G31+G32</f>
        <v>2755053.9971927777</v>
      </c>
      <c r="H30" s="169"/>
    </row>
    <row r="31" spans="1:8" outlineLevel="1" x14ac:dyDescent="0.35">
      <c r="A31" s="373" t="s">
        <v>154</v>
      </c>
      <c r="B31" s="374">
        <f>B30*C31</f>
        <v>144286929.87325916</v>
      </c>
      <c r="C31" s="350">
        <v>0.94481000000000004</v>
      </c>
      <c r="D31" s="313"/>
      <c r="F31" s="450">
        <f>SUMIF($A$291:$A$350,$C$2,B$291:B$350)</f>
        <v>1.9094272777255721E-2</v>
      </c>
      <c r="G31" s="372">
        <f>B31*F31</f>
        <v>2755053.9971927777</v>
      </c>
      <c r="H31" s="169"/>
    </row>
    <row r="32" spans="1:8" ht="14.65" outlineLevel="1" thickBot="1" x14ac:dyDescent="0.4">
      <c r="A32" s="373" t="s">
        <v>155</v>
      </c>
      <c r="B32" s="374">
        <f>B30*C32</f>
        <v>8428356.6639908273</v>
      </c>
      <c r="C32" s="350">
        <v>5.5190000000000003E-2</v>
      </c>
      <c r="D32" s="313"/>
      <c r="F32" s="450">
        <f>SUMIF($A$291:$A$350,$C$2,F$291:F$350)</f>
        <v>0</v>
      </c>
      <c r="G32" s="372">
        <f>B32*F32</f>
        <v>0</v>
      </c>
      <c r="H32" s="169"/>
    </row>
    <row r="33" spans="1:8" ht="14.65" thickBot="1" x14ac:dyDescent="0.5">
      <c r="A33" s="196" t="s">
        <v>41</v>
      </c>
      <c r="B33" s="197">
        <f>SUM(B27:B30)</f>
        <v>1977362169.0525</v>
      </c>
      <c r="C33" s="314">
        <f>SUM(C27:C30)</f>
        <v>1</v>
      </c>
      <c r="D33" s="312">
        <f>SUM(D27:D30)</f>
        <v>0.35505877132294861</v>
      </c>
      <c r="F33" s="309"/>
      <c r="G33" s="310">
        <f>SUM(G27:G32)</f>
        <v>33595491.12786714</v>
      </c>
      <c r="H33" s="169"/>
    </row>
    <row r="34" spans="1:8" ht="14.65" thickBot="1" x14ac:dyDescent="0.5">
      <c r="H34" s="169"/>
    </row>
    <row r="35" spans="1:8" ht="14.65" thickBot="1" x14ac:dyDescent="0.5">
      <c r="A35" s="130" t="s">
        <v>89</v>
      </c>
      <c r="B35" s="52">
        <f>+B20+B33</f>
        <v>5569112295.64855</v>
      </c>
      <c r="C35" s="131"/>
      <c r="D35" s="184">
        <f>D20+D33</f>
        <v>0.99999999999999989</v>
      </c>
      <c r="H35" s="169"/>
    </row>
    <row r="37" spans="1:8" ht="15.75" x14ac:dyDescent="0.45">
      <c r="A37" s="737" t="s">
        <v>139</v>
      </c>
      <c r="B37" s="737"/>
      <c r="C37" s="737"/>
      <c r="D37" s="737"/>
      <c r="E37" s="737"/>
      <c r="F37" s="737"/>
      <c r="G37" s="737"/>
    </row>
    <row r="38" spans="1:8" x14ac:dyDescent="0.45">
      <c r="A38" s="733"/>
      <c r="B38" s="733"/>
      <c r="C38" s="733"/>
      <c r="D38" s="733"/>
      <c r="E38" s="733"/>
      <c r="F38" s="733"/>
      <c r="G38" s="733"/>
    </row>
    <row r="39" spans="1:8" x14ac:dyDescent="0.45">
      <c r="A39" t="s">
        <v>40</v>
      </c>
      <c r="B39"/>
      <c r="C39" s="39">
        <f>B11</f>
        <v>2258027908.91605</v>
      </c>
      <c r="F39" s="2" t="s">
        <v>103</v>
      </c>
      <c r="G39" s="138">
        <f>+G11</f>
        <v>22786888.642826319</v>
      </c>
    </row>
    <row r="40" spans="1:8" ht="14.65" thickBot="1" x14ac:dyDescent="0.5"/>
    <row r="41" spans="1:8" ht="57.4" thickBot="1" x14ac:dyDescent="0.5">
      <c r="A41" s="228" t="s">
        <v>37</v>
      </c>
      <c r="B41" s="229" t="s">
        <v>38</v>
      </c>
      <c r="C41" s="230" t="s">
        <v>325</v>
      </c>
      <c r="D41" s="15"/>
      <c r="E41" s="15"/>
      <c r="F41" s="225" t="str">
        <f>CONCATENATE(C2," County % Distribution ")</f>
        <v xml:space="preserve">San Mateo County % Distribution </v>
      </c>
      <c r="G41" s="224" t="str">
        <f>CONCATENATE(C2," County Portion (Distribution to Programs)")</f>
        <v>San Mateo County Portion (Distribution to Programs)</v>
      </c>
    </row>
    <row r="42" spans="1:8" ht="5.25" customHeight="1" thickBot="1" x14ac:dyDescent="0.5">
      <c r="A42" s="191"/>
      <c r="B42" s="192"/>
      <c r="C42" s="186"/>
      <c r="F42" s="185"/>
      <c r="G42" s="186"/>
    </row>
    <row r="43" spans="1:8" x14ac:dyDescent="0.45">
      <c r="A43" s="193" t="s">
        <v>32</v>
      </c>
      <c r="B43" s="240">
        <v>0.21067117824181297</v>
      </c>
      <c r="C43" s="194">
        <f>ROUND(C$39*B43,0)</f>
        <v>475701400</v>
      </c>
      <c r="F43" s="243">
        <v>0.12923985390000001</v>
      </c>
      <c r="G43" s="194">
        <f>G$39*F43</f>
        <v>2944974.1590344431</v>
      </c>
    </row>
    <row r="44" spans="1:8" x14ac:dyDescent="0.45">
      <c r="A44" s="188" t="s">
        <v>33</v>
      </c>
      <c r="B44" s="241">
        <v>0.21629628513883875</v>
      </c>
      <c r="C44" s="189">
        <f t="shared" ref="C44:C52" si="1">ROUND(C$39*B44,0)</f>
        <v>488403048</v>
      </c>
      <c r="F44" s="244">
        <v>0.15281752949999999</v>
      </c>
      <c r="G44" s="189">
        <f>G$39*F44</f>
        <v>3482236.0273883259</v>
      </c>
    </row>
    <row r="45" spans="1:8" x14ac:dyDescent="0.45">
      <c r="A45" s="188" t="s">
        <v>34</v>
      </c>
      <c r="B45" s="241">
        <v>3.1472832892172307E-2</v>
      </c>
      <c r="C45" s="189">
        <f t="shared" si="1"/>
        <v>71066535</v>
      </c>
      <c r="F45" s="244">
        <v>6.4569631700000005E-2</v>
      </c>
      <c r="G45" s="189">
        <f t="shared" ref="G45:G52" si="2">G$39*F45</f>
        <v>1471341.0072562085</v>
      </c>
    </row>
    <row r="46" spans="1:8" x14ac:dyDescent="0.45">
      <c r="A46" s="188" t="s">
        <v>35</v>
      </c>
      <c r="B46" s="241">
        <v>7.4758995054469476E-3</v>
      </c>
      <c r="C46" s="189">
        <f t="shared" si="1"/>
        <v>16880790</v>
      </c>
      <c r="F46" s="244">
        <v>1.1448822900000001E-2</v>
      </c>
      <c r="G46" s="189">
        <f t="shared" si="2"/>
        <v>260883.05251373991</v>
      </c>
    </row>
    <row r="47" spans="1:8" x14ac:dyDescent="0.45">
      <c r="A47" s="188" t="s">
        <v>30</v>
      </c>
      <c r="B47" s="241">
        <v>3.0451166570903559E-2</v>
      </c>
      <c r="C47" s="189">
        <f t="shared" si="1"/>
        <v>68759584</v>
      </c>
      <c r="F47" s="244">
        <v>6.3446434699999998E-2</v>
      </c>
      <c r="G47" s="189">
        <f t="shared" si="2"/>
        <v>1445746.8422932515</v>
      </c>
    </row>
    <row r="48" spans="1:8" x14ac:dyDescent="0.45">
      <c r="A48" s="188" t="s">
        <v>36</v>
      </c>
      <c r="B48" s="241">
        <v>0.446164429087337</v>
      </c>
      <c r="C48" s="189">
        <f>ROUND(C$39*B48,0)</f>
        <v>1007451733</v>
      </c>
      <c r="F48" s="244">
        <v>0.52799938930000001</v>
      </c>
      <c r="G48" s="189">
        <f t="shared" si="2"/>
        <v>12031463.287459403</v>
      </c>
    </row>
    <row r="49" spans="1:7" x14ac:dyDescent="0.45">
      <c r="A49" s="188" t="s">
        <v>28</v>
      </c>
      <c r="B49" s="241">
        <v>2.0993250275126246E-2</v>
      </c>
      <c r="C49" s="189">
        <f t="shared" si="1"/>
        <v>47403345</v>
      </c>
      <c r="F49" s="244">
        <v>2.3759667200000001E-2</v>
      </c>
      <c r="G49" s="189">
        <f t="shared" si="2"/>
        <v>541408.89067701297</v>
      </c>
    </row>
    <row r="50" spans="1:7" x14ac:dyDescent="0.45">
      <c r="A50" s="188" t="s">
        <v>29</v>
      </c>
      <c r="B50" s="241">
        <v>2.1392685555495575E-2</v>
      </c>
      <c r="C50" s="189">
        <f t="shared" si="1"/>
        <v>48305281</v>
      </c>
      <c r="F50" s="244">
        <v>2.67186708E-2</v>
      </c>
      <c r="G50" s="189">
        <f t="shared" si="2"/>
        <v>608835.37620393524</v>
      </c>
    </row>
    <row r="51" spans="1:7" x14ac:dyDescent="0.45">
      <c r="A51" s="188" t="s">
        <v>31</v>
      </c>
      <c r="B51" s="241">
        <v>1.5082272732866463E-2</v>
      </c>
      <c r="C51" s="189">
        <f t="shared" si="1"/>
        <v>34056193</v>
      </c>
      <c r="F51" s="244">
        <v>0</v>
      </c>
      <c r="G51" s="189">
        <f t="shared" si="2"/>
        <v>0</v>
      </c>
    </row>
    <row r="52" spans="1:7" ht="14.65" thickBot="1" x14ac:dyDescent="0.5">
      <c r="A52" s="346"/>
      <c r="B52" s="242"/>
      <c r="C52" s="190">
        <f t="shared" si="1"/>
        <v>0</v>
      </c>
      <c r="F52" s="342">
        <v>0</v>
      </c>
      <c r="G52" s="190">
        <f t="shared" si="2"/>
        <v>0</v>
      </c>
    </row>
    <row r="53" spans="1:7" ht="14.65" thickBot="1" x14ac:dyDescent="0.5">
      <c r="A53" s="198" t="s">
        <v>102</v>
      </c>
      <c r="B53" s="215">
        <f>SUM(B43:B52)</f>
        <v>0.99999999999999978</v>
      </c>
      <c r="C53" s="200">
        <f>SUM(C43:C52)</f>
        <v>2258027909</v>
      </c>
      <c r="F53" s="187">
        <f>SUM(F43:F51)</f>
        <v>1</v>
      </c>
      <c r="G53" s="200">
        <f>SUM(G43:G51)</f>
        <v>22786888.642826322</v>
      </c>
    </row>
    <row r="55" spans="1:7" ht="8.25" customHeight="1" x14ac:dyDescent="0.45"/>
    <row r="56" spans="1:7" x14ac:dyDescent="0.45">
      <c r="A56" t="s">
        <v>43</v>
      </c>
      <c r="B56"/>
      <c r="C56" s="39">
        <f>B12</f>
        <v>1328618217.6800001</v>
      </c>
      <c r="F56" s="2" t="s">
        <v>103</v>
      </c>
      <c r="G56" s="138">
        <f>G12</f>
        <v>13632289.879742075</v>
      </c>
    </row>
    <row r="57" spans="1:7" ht="14.65" thickBot="1" x14ac:dyDescent="0.5"/>
    <row r="58" spans="1:7" ht="57.4" thickBot="1" x14ac:dyDescent="0.5">
      <c r="A58" s="228" t="s">
        <v>37</v>
      </c>
      <c r="B58" s="229" t="s">
        <v>106</v>
      </c>
      <c r="C58" s="230" t="s">
        <v>39</v>
      </c>
      <c r="D58" s="15"/>
      <c r="E58" s="15"/>
      <c r="F58" s="225" t="str">
        <f>CONCATENATE(C2," County % Distribution (PROG/TOT PS) per BH Spreadsheet")</f>
        <v>San Mateo County % Distribution (PROG/TOT PS) per BH Spreadsheet</v>
      </c>
      <c r="G58" s="224" t="str">
        <f>CONCATENATE(C2," County Portion (Distribution to Programs)")</f>
        <v>San Mateo County Portion (Distribution to Programs)</v>
      </c>
    </row>
    <row r="59" spans="1:7" ht="4.5" customHeight="1" thickBot="1" x14ac:dyDescent="0.5">
      <c r="A59" s="203"/>
      <c r="B59" s="204"/>
      <c r="C59" s="205"/>
      <c r="F59" s="139"/>
      <c r="G59" s="140"/>
    </row>
    <row r="60" spans="1:7" x14ac:dyDescent="0.45">
      <c r="A60" s="206" t="s">
        <v>44</v>
      </c>
      <c r="B60" s="246">
        <v>0.18602922781854569</v>
      </c>
      <c r="C60" s="212">
        <f>ROUND(C56*B60,0)</f>
        <v>247161821</v>
      </c>
      <c r="F60" s="247">
        <v>0.2029597891992356</v>
      </c>
      <c r="G60" s="194">
        <f>F60*G56</f>
        <v>2766806.6802953244</v>
      </c>
    </row>
    <row r="61" spans="1:7" ht="14.65" thickBot="1" x14ac:dyDescent="0.5">
      <c r="A61" s="207" t="s">
        <v>45</v>
      </c>
      <c r="B61" s="242">
        <v>0.81397077218145431</v>
      </c>
      <c r="C61" s="208">
        <f>ROUND(C56*B61,0)</f>
        <v>1081456397</v>
      </c>
      <c r="F61" s="245">
        <v>0.79704021080076437</v>
      </c>
      <c r="G61" s="190">
        <f>F61*G56</f>
        <v>10865483.199446751</v>
      </c>
    </row>
    <row r="62" spans="1:7" ht="14.65" thickBot="1" x14ac:dyDescent="0.5">
      <c r="A62" s="198" t="s">
        <v>102</v>
      </c>
      <c r="B62" s="199">
        <f>SUM(B60:B61)</f>
        <v>1</v>
      </c>
      <c r="C62" s="200">
        <f>SUM(C60:C61)</f>
        <v>1328618218</v>
      </c>
      <c r="F62" s="213">
        <f>SUM(F60:F61)</f>
        <v>1</v>
      </c>
      <c r="G62" s="214">
        <f>SUM(G60:G61)</f>
        <v>13632289.879742075</v>
      </c>
    </row>
    <row r="65" spans="1:10" x14ac:dyDescent="0.45">
      <c r="A65" s="734" t="s">
        <v>140</v>
      </c>
      <c r="B65" s="734"/>
      <c r="C65" s="734"/>
      <c r="D65" s="734"/>
      <c r="E65" s="734"/>
      <c r="F65" s="734"/>
      <c r="G65" s="734"/>
    </row>
    <row r="66" spans="1:10" x14ac:dyDescent="0.45">
      <c r="A66" s="733" t="s">
        <v>237</v>
      </c>
      <c r="B66" s="733"/>
      <c r="C66" s="733"/>
      <c r="D66" s="733"/>
      <c r="E66" s="733"/>
      <c r="F66" s="733"/>
      <c r="G66" s="733"/>
    </row>
    <row r="67" spans="1:10" x14ac:dyDescent="0.45">
      <c r="A67" s="16"/>
      <c r="B67" s="16"/>
      <c r="C67" s="16"/>
      <c r="D67" s="16"/>
      <c r="E67" s="16"/>
      <c r="F67" s="16"/>
      <c r="G67" s="16"/>
    </row>
    <row r="68" spans="1:10" x14ac:dyDescent="0.45">
      <c r="B68" s="339" t="s">
        <v>137</v>
      </c>
      <c r="C68" s="343">
        <f>B11</f>
        <v>2258027908.91605</v>
      </c>
      <c r="D68" s="16"/>
      <c r="E68" s="16"/>
      <c r="F68" s="295" t="s">
        <v>84</v>
      </c>
      <c r="G68" s="340">
        <f>B12</f>
        <v>1328618217.6800001</v>
      </c>
    </row>
    <row r="69" spans="1:10" ht="14.65" thickBot="1" x14ac:dyDescent="0.5">
      <c r="A69" s="16"/>
      <c r="B69" s="16"/>
      <c r="C69" s="16"/>
      <c r="D69" s="16"/>
      <c r="E69" s="16"/>
      <c r="F69" s="341" t="s">
        <v>138</v>
      </c>
    </row>
    <row r="70" spans="1:10" ht="14.65" thickBot="1" x14ac:dyDescent="0.5">
      <c r="A70" s="16"/>
      <c r="B70" s="735" t="s">
        <v>83</v>
      </c>
      <c r="C70" s="736"/>
      <c r="D70" s="16"/>
      <c r="E70" s="16"/>
      <c r="F70" s="735" t="s">
        <v>84</v>
      </c>
      <c r="G70" s="736"/>
    </row>
    <row r="71" spans="1:10" ht="6" customHeight="1" thickBot="1" x14ac:dyDescent="0.5">
      <c r="A71" s="16"/>
      <c r="B71" s="333"/>
      <c r="C71" s="162"/>
      <c r="D71" s="16"/>
      <c r="E71" s="16"/>
      <c r="F71" s="333"/>
      <c r="G71" s="162"/>
    </row>
    <row r="72" spans="1:10" x14ac:dyDescent="0.45">
      <c r="A72" s="345"/>
      <c r="B72" s="453"/>
      <c r="C72" s="328"/>
      <c r="F72" s="547" t="s">
        <v>322</v>
      </c>
      <c r="G72" s="328"/>
    </row>
    <row r="73" spans="1:10" x14ac:dyDescent="0.4">
      <c r="A73" s="336" t="s">
        <v>177</v>
      </c>
      <c r="B73" s="327">
        <v>4.0717950000000003E-2</v>
      </c>
      <c r="C73" s="328">
        <f t="shared" ref="C73:C131" si="3">C$68*B73</f>
        <v>91942267.493848279</v>
      </c>
      <c r="F73" s="327">
        <v>5.1598105999999998E-2</v>
      </c>
      <c r="G73" s="328">
        <f>G$68*F73</f>
        <v>68554183.629383713</v>
      </c>
      <c r="J73" s="708"/>
    </row>
    <row r="74" spans="1:10" x14ac:dyDescent="0.4">
      <c r="A74" s="326" t="s">
        <v>178</v>
      </c>
      <c r="B74" s="327">
        <v>4.1193000000000002E-4</v>
      </c>
      <c r="C74" s="328">
        <f t="shared" si="3"/>
        <v>930149.43651978846</v>
      </c>
      <c r="F74" s="327">
        <v>1.7555500000000001E-4</v>
      </c>
      <c r="G74" s="328">
        <f t="shared" ref="G74:G131" si="4">G$68*F74</f>
        <v>233245.57120481241</v>
      </c>
      <c r="J74" s="708"/>
    </row>
    <row r="75" spans="1:10" x14ac:dyDescent="0.4">
      <c r="A75" s="326" t="s">
        <v>179</v>
      </c>
      <c r="B75" s="327">
        <v>8.1094000000000001E-4</v>
      </c>
      <c r="C75" s="328">
        <f t="shared" si="3"/>
        <v>1831125.1524563816</v>
      </c>
      <c r="F75" s="327">
        <v>6.5280399999999999E-4</v>
      </c>
      <c r="G75" s="328">
        <f t="shared" si="4"/>
        <v>867327.28697437479</v>
      </c>
      <c r="J75" s="708"/>
    </row>
    <row r="76" spans="1:10" x14ac:dyDescent="0.4">
      <c r="A76" s="326" t="s">
        <v>180</v>
      </c>
      <c r="B76" s="327">
        <v>8.6815299999999998E-3</v>
      </c>
      <c r="C76" s="328">
        <f t="shared" si="3"/>
        <v>19603137.032091957</v>
      </c>
      <c r="F76" s="327">
        <v>9.2598790000000004E-3</v>
      </c>
      <c r="G76" s="328">
        <f t="shared" si="4"/>
        <v>12302843.932912461</v>
      </c>
      <c r="J76" s="708"/>
    </row>
    <row r="77" spans="1:10" x14ac:dyDescent="0.4">
      <c r="A77" s="326" t="s">
        <v>181</v>
      </c>
      <c r="B77" s="327">
        <v>1.2801900000000001E-3</v>
      </c>
      <c r="C77" s="328">
        <f t="shared" si="3"/>
        <v>2890704.7487152382</v>
      </c>
      <c r="F77" s="327">
        <v>9.6484200000000004E-4</v>
      </c>
      <c r="G77" s="328">
        <f t="shared" si="4"/>
        <v>1281906.6583828067</v>
      </c>
      <c r="J77" s="708"/>
    </row>
    <row r="78" spans="1:10" x14ac:dyDescent="0.4">
      <c r="A78" s="326" t="s">
        <v>182</v>
      </c>
      <c r="B78" s="327">
        <v>7.6924999999999997E-4</v>
      </c>
      <c r="C78" s="328">
        <f t="shared" si="3"/>
        <v>1736987.9689336712</v>
      </c>
      <c r="F78" s="327">
        <v>8.6356599999999996E-4</v>
      </c>
      <c r="G78" s="328">
        <f t="shared" si="4"/>
        <v>1147349.5197690469</v>
      </c>
      <c r="J78" s="708"/>
    </row>
    <row r="79" spans="1:10" x14ac:dyDescent="0.4">
      <c r="A79" s="326" t="s">
        <v>183</v>
      </c>
      <c r="B79" s="327">
        <v>2.2727150000000002E-2</v>
      </c>
      <c r="C79" s="328">
        <f t="shared" si="3"/>
        <v>51318538.990121409</v>
      </c>
      <c r="F79" s="327">
        <v>2.6903864E-2</v>
      </c>
      <c r="G79" s="328">
        <f t="shared" si="4"/>
        <v>35744963.836385116</v>
      </c>
      <c r="J79" s="708"/>
    </row>
    <row r="80" spans="1:10" x14ac:dyDescent="0.4">
      <c r="A80" s="326" t="s">
        <v>184</v>
      </c>
      <c r="B80" s="327">
        <v>2.0408599999999998E-3</v>
      </c>
      <c r="C80" s="328">
        <f t="shared" si="3"/>
        <v>4608318.8381904094</v>
      </c>
      <c r="F80" s="327">
        <v>1.1152079999999999E-3</v>
      </c>
      <c r="G80" s="328">
        <f t="shared" si="4"/>
        <v>1481685.6653024773</v>
      </c>
      <c r="J80" s="708"/>
    </row>
    <row r="81" spans="1:10" x14ac:dyDescent="0.4">
      <c r="A81" s="326" t="s">
        <v>185</v>
      </c>
      <c r="B81" s="327">
        <v>3.7331299999999999E-3</v>
      </c>
      <c r="C81" s="328">
        <f t="shared" si="3"/>
        <v>8429511.7276117727</v>
      </c>
      <c r="F81" s="327">
        <v>2.3599810000000001E-3</v>
      </c>
      <c r="G81" s="328">
        <f t="shared" si="4"/>
        <v>3135513.7499786643</v>
      </c>
      <c r="J81" s="708"/>
    </row>
    <row r="82" spans="1:10" x14ac:dyDescent="0.4">
      <c r="A82" s="326" t="s">
        <v>186</v>
      </c>
      <c r="B82" s="327">
        <v>2.3745619999999999E-2</v>
      </c>
      <c r="C82" s="328">
        <f t="shared" si="3"/>
        <v>53618272.674515128</v>
      </c>
      <c r="F82" s="327">
        <v>2.6143482999999999E-2</v>
      </c>
      <c r="G82" s="328">
        <f t="shared" si="4"/>
        <v>34734707.787407376</v>
      </c>
      <c r="J82" s="708"/>
    </row>
    <row r="83" spans="1:10" x14ac:dyDescent="0.4">
      <c r="A83" s="326" t="s">
        <v>187</v>
      </c>
      <c r="B83" s="327">
        <v>1.46798E-3</v>
      </c>
      <c r="C83" s="328">
        <f t="shared" si="3"/>
        <v>3314739.8097305829</v>
      </c>
      <c r="F83" s="327">
        <v>1.0627550000000001E-3</v>
      </c>
      <c r="G83" s="328">
        <f t="shared" si="4"/>
        <v>1411995.6539305085</v>
      </c>
      <c r="J83" s="708"/>
    </row>
    <row r="84" spans="1:10" x14ac:dyDescent="0.4">
      <c r="A84" s="326" t="s">
        <v>188</v>
      </c>
      <c r="B84" s="327">
        <v>5.7142199999999999E-3</v>
      </c>
      <c r="C84" s="328">
        <f t="shared" si="3"/>
        <v>12902868.237686271</v>
      </c>
      <c r="F84" s="327">
        <v>4.4191120000000002E-3</v>
      </c>
      <c r="G84" s="328">
        <f t="shared" si="4"/>
        <v>5871312.709168301</v>
      </c>
      <c r="J84" s="708"/>
    </row>
    <row r="85" spans="1:10" x14ac:dyDescent="0.4">
      <c r="A85" s="326" t="s">
        <v>189</v>
      </c>
      <c r="B85" s="327">
        <v>4.4259099999999999E-3</v>
      </c>
      <c r="C85" s="328">
        <f t="shared" si="3"/>
        <v>9993828.3023506347</v>
      </c>
      <c r="F85" s="327">
        <v>7.2747999999999997E-3</v>
      </c>
      <c r="G85" s="328">
        <f t="shared" si="4"/>
        <v>9665431.8099784646</v>
      </c>
      <c r="J85" s="708"/>
    </row>
    <row r="86" spans="1:10" x14ac:dyDescent="0.4">
      <c r="A86" s="326" t="s">
        <v>190</v>
      </c>
      <c r="B86" s="327">
        <v>7.5330999999999998E-4</v>
      </c>
      <c r="C86" s="328">
        <f t="shared" si="3"/>
        <v>1700995.0040655495</v>
      </c>
      <c r="F86" s="327">
        <v>6.0510000000000002E-4</v>
      </c>
      <c r="G86" s="328">
        <f t="shared" si="4"/>
        <v>803946.88351816812</v>
      </c>
      <c r="J86" s="708"/>
    </row>
    <row r="87" spans="1:10" x14ac:dyDescent="0.4">
      <c r="A87" s="326" t="s">
        <v>191</v>
      </c>
      <c r="B87" s="327">
        <v>2.8688040000000001E-2</v>
      </c>
      <c r="C87" s="328">
        <f t="shared" si="3"/>
        <v>64778394.972100005</v>
      </c>
      <c r="F87" s="327">
        <v>2.2290104000000002E-2</v>
      </c>
      <c r="G87" s="328">
        <f t="shared" si="4"/>
        <v>29615038.248381842</v>
      </c>
      <c r="J87" s="708"/>
    </row>
    <row r="88" spans="1:10" x14ac:dyDescent="0.4">
      <c r="A88" s="326" t="s">
        <v>192</v>
      </c>
      <c r="B88" s="327">
        <v>3.7475299999999998E-3</v>
      </c>
      <c r="C88" s="328">
        <f t="shared" si="3"/>
        <v>8462027.3295001648</v>
      </c>
      <c r="F88" s="327">
        <v>2.0546589999999999E-3</v>
      </c>
      <c r="G88" s="328">
        <f t="shared" si="4"/>
        <v>2729857.3785201712</v>
      </c>
      <c r="J88" s="708"/>
    </row>
    <row r="89" spans="1:10" x14ac:dyDescent="0.4">
      <c r="A89" s="326" t="s">
        <v>193</v>
      </c>
      <c r="B89" s="327">
        <v>2.38565E-3</v>
      </c>
      <c r="C89" s="328">
        <f t="shared" si="3"/>
        <v>5386864.2809055746</v>
      </c>
      <c r="F89" s="327">
        <v>2.3725930000000001E-3</v>
      </c>
      <c r="G89" s="328">
        <f t="shared" si="4"/>
        <v>3152270.2829400445</v>
      </c>
      <c r="J89" s="708"/>
    </row>
    <row r="90" spans="1:10" x14ac:dyDescent="0.4">
      <c r="A90" s="326" t="s">
        <v>194</v>
      </c>
      <c r="B90" s="327">
        <v>1.74972E-3</v>
      </c>
      <c r="C90" s="328">
        <f t="shared" si="3"/>
        <v>3950916.592788591</v>
      </c>
      <c r="F90" s="327">
        <v>9.901790000000001E-4</v>
      </c>
      <c r="G90" s="328">
        <f t="shared" si="4"/>
        <v>1315569.8581641649</v>
      </c>
      <c r="J90" s="708"/>
    </row>
    <row r="91" spans="1:10" x14ac:dyDescent="0.4">
      <c r="A91" s="326" t="s">
        <v>195</v>
      </c>
      <c r="B91" s="327">
        <v>0.31863144999999998</v>
      </c>
      <c r="C91" s="328">
        <f t="shared" si="3"/>
        <v>719478706.75838888</v>
      </c>
      <c r="F91" s="327">
        <v>0.36695229410000002</v>
      </c>
      <c r="G91" s="328">
        <f t="shared" si="4"/>
        <v>487539502.96072924</v>
      </c>
      <c r="J91" s="708"/>
    </row>
    <row r="92" spans="1:10" x14ac:dyDescent="0.4">
      <c r="A92" s="326" t="s">
        <v>196</v>
      </c>
      <c r="B92" s="327">
        <v>3.28955E-3</v>
      </c>
      <c r="C92" s="328">
        <f t="shared" si="3"/>
        <v>7427895.7077747919</v>
      </c>
      <c r="F92" s="327">
        <v>2.8450670000000002E-3</v>
      </c>
      <c r="G92" s="328">
        <f t="shared" si="4"/>
        <v>3780007.8467201851</v>
      </c>
      <c r="J92" s="708"/>
    </row>
    <row r="93" spans="1:10" x14ac:dyDescent="0.4">
      <c r="A93" s="326" t="s">
        <v>197</v>
      </c>
      <c r="B93" s="327">
        <v>3.1750699999999999E-3</v>
      </c>
      <c r="C93" s="328">
        <f t="shared" si="3"/>
        <v>7169396.6727620829</v>
      </c>
      <c r="F93" s="327">
        <v>3.5891310000000002E-3</v>
      </c>
      <c r="G93" s="328">
        <f t="shared" si="4"/>
        <v>4768584.8322400367</v>
      </c>
      <c r="J93" s="708"/>
    </row>
    <row r="94" spans="1:10" x14ac:dyDescent="0.4">
      <c r="A94" s="326" t="s">
        <v>198</v>
      </c>
      <c r="B94" s="327">
        <v>9.1954999999999999E-4</v>
      </c>
      <c r="C94" s="328">
        <f t="shared" si="3"/>
        <v>2076369.5636437538</v>
      </c>
      <c r="F94" s="327">
        <v>7.3012800000000003E-4</v>
      </c>
      <c r="G94" s="328">
        <f t="shared" si="4"/>
        <v>970061.36203826312</v>
      </c>
      <c r="J94" s="708"/>
    </row>
    <row r="95" spans="1:10" x14ac:dyDescent="0.4">
      <c r="A95" s="326" t="s">
        <v>199</v>
      </c>
      <c r="B95" s="327">
        <v>5.1249599999999996E-3</v>
      </c>
      <c r="C95" s="328">
        <f t="shared" si="3"/>
        <v>11572302.712078398</v>
      </c>
      <c r="F95" s="327">
        <v>4.7295840000000002E-3</v>
      </c>
      <c r="G95" s="328">
        <f t="shared" si="4"/>
        <v>6283811.4644478457</v>
      </c>
      <c r="J95" s="708"/>
    </row>
    <row r="96" spans="1:10" x14ac:dyDescent="0.4">
      <c r="A96" s="326" t="s">
        <v>200</v>
      </c>
      <c r="B96" s="327">
        <v>7.1377799999999998E-3</v>
      </c>
      <c r="C96" s="328">
        <f t="shared" si="3"/>
        <v>16117306.447702803</v>
      </c>
      <c r="F96" s="327">
        <v>8.6636620000000008E-3</v>
      </c>
      <c r="G96" s="328">
        <f t="shared" si="4"/>
        <v>11510699.165021947</v>
      </c>
      <c r="J96" s="708"/>
    </row>
    <row r="97" spans="1:10" x14ac:dyDescent="0.4">
      <c r="A97" s="326" t="s">
        <v>201</v>
      </c>
      <c r="B97" s="327">
        <v>5.0861999999999999E-4</v>
      </c>
      <c r="C97" s="328">
        <f t="shared" si="3"/>
        <v>1148478.1550328813</v>
      </c>
      <c r="F97" s="327">
        <v>5.7193800000000003E-4</v>
      </c>
      <c r="G97" s="328">
        <f t="shared" si="4"/>
        <v>759887.24618346395</v>
      </c>
      <c r="J97" s="708"/>
    </row>
    <row r="98" spans="1:10" x14ac:dyDescent="0.4">
      <c r="A98" s="326" t="s">
        <v>202</v>
      </c>
      <c r="B98" s="327">
        <v>5.3255999999999996E-4</v>
      </c>
      <c r="C98" s="328">
        <f t="shared" si="3"/>
        <v>1202535.3431723316</v>
      </c>
      <c r="F98" s="327">
        <v>3.5991199999999999E-4</v>
      </c>
      <c r="G98" s="328">
        <f t="shared" si="4"/>
        <v>478185.63996164419</v>
      </c>
      <c r="J98" s="708"/>
    </row>
    <row r="99" spans="1:10" x14ac:dyDescent="0.4">
      <c r="A99" s="326" t="s">
        <v>203</v>
      </c>
      <c r="B99" s="327">
        <v>8.0843000000000009E-3</v>
      </c>
      <c r="C99" s="328">
        <f t="shared" si="3"/>
        <v>18254575.024050023</v>
      </c>
      <c r="F99" s="327">
        <v>1.100507E-2</v>
      </c>
      <c r="G99" s="328">
        <f t="shared" si="4"/>
        <v>14621536.488843638</v>
      </c>
      <c r="J99" s="708"/>
    </row>
    <row r="100" spans="1:10" x14ac:dyDescent="0.4">
      <c r="A100" s="326" t="s">
        <v>204</v>
      </c>
      <c r="B100" s="327">
        <v>2.8762599999999998E-3</v>
      </c>
      <c r="C100" s="328">
        <f t="shared" si="3"/>
        <v>6494675.3532988774</v>
      </c>
      <c r="F100" s="327">
        <v>2.9095800000000002E-3</v>
      </c>
      <c r="G100" s="328">
        <f t="shared" si="4"/>
        <v>3865720.9937973749</v>
      </c>
      <c r="J100" s="708"/>
    </row>
    <row r="101" spans="1:10" x14ac:dyDescent="0.4">
      <c r="A101" s="326" t="s">
        <v>205</v>
      </c>
      <c r="B101" s="327">
        <v>1.69261E-3</v>
      </c>
      <c r="C101" s="328">
        <f t="shared" si="3"/>
        <v>3821960.6189103951</v>
      </c>
      <c r="F101" s="327">
        <v>3.083377E-3</v>
      </c>
      <c r="G101" s="328">
        <f t="shared" si="4"/>
        <v>4096630.8541755057</v>
      </c>
      <c r="J101" s="708"/>
    </row>
    <row r="102" spans="1:10" x14ac:dyDescent="0.4">
      <c r="A102" s="326" t="s">
        <v>206</v>
      </c>
      <c r="B102" s="327">
        <v>5.085891E-2</v>
      </c>
      <c r="C102" s="328">
        <f t="shared" si="3"/>
        <v>114840838.19704959</v>
      </c>
      <c r="F102" s="327">
        <v>3.7234689000000001E-2</v>
      </c>
      <c r="G102" s="328">
        <f t="shared" si="4"/>
        <v>49470686.135049105</v>
      </c>
      <c r="J102" s="708"/>
    </row>
    <row r="103" spans="1:10" x14ac:dyDescent="0.4">
      <c r="A103" s="326" t="s">
        <v>207</v>
      </c>
      <c r="B103" s="327">
        <v>8.4292399999999993E-3</v>
      </c>
      <c r="C103" s="328">
        <f t="shared" si="3"/>
        <v>19033459.170951523</v>
      </c>
      <c r="F103" s="327">
        <v>3.2626669999999999E-3</v>
      </c>
      <c r="G103" s="328">
        <f t="shared" si="4"/>
        <v>4334838.8144233525</v>
      </c>
      <c r="J103" s="708"/>
    </row>
    <row r="104" spans="1:10" x14ac:dyDescent="0.4">
      <c r="A104" s="326" t="s">
        <v>208</v>
      </c>
      <c r="B104" s="327">
        <v>1.00424E-3</v>
      </c>
      <c r="C104" s="328">
        <f t="shared" si="3"/>
        <v>2267601.947249854</v>
      </c>
      <c r="F104" s="327">
        <v>7.5487999999999998E-4</v>
      </c>
      <c r="G104" s="328">
        <f t="shared" si="4"/>
        <v>1002947.3201622785</v>
      </c>
      <c r="J104" s="708"/>
    </row>
    <row r="105" spans="1:10" x14ac:dyDescent="0.4">
      <c r="A105" s="326" t="s">
        <v>209</v>
      </c>
      <c r="B105" s="327">
        <v>5.4681319999999999E-2</v>
      </c>
      <c r="C105" s="328">
        <f t="shared" si="3"/>
        <v>123471946.65636937</v>
      </c>
      <c r="F105" s="327">
        <v>3.0394906999999999E-2</v>
      </c>
      <c r="G105" s="328">
        <f t="shared" si="4"/>
        <v>40383227.164889358</v>
      </c>
      <c r="J105" s="708"/>
    </row>
    <row r="106" spans="1:10" x14ac:dyDescent="0.4">
      <c r="A106" s="326" t="s">
        <v>210</v>
      </c>
      <c r="B106" s="327">
        <v>5.1066090000000001E-2</v>
      </c>
      <c r="C106" s="328">
        <f t="shared" si="3"/>
        <v>115308656.41921881</v>
      </c>
      <c r="F106" s="327">
        <v>4.6010154999999997E-2</v>
      </c>
      <c r="G106" s="328">
        <f t="shared" si="4"/>
        <v>61129930.131280541</v>
      </c>
      <c r="J106" s="708"/>
    </row>
    <row r="107" spans="1:10" x14ac:dyDescent="0.4">
      <c r="A107" s="326" t="s">
        <v>211</v>
      </c>
      <c r="B107" s="327">
        <v>1.1377099999999999E-3</v>
      </c>
      <c r="C107" s="328">
        <f t="shared" si="3"/>
        <v>2568980.9322528788</v>
      </c>
      <c r="F107" s="327">
        <v>8.2294900000000001E-4</v>
      </c>
      <c r="G107" s="328">
        <f t="shared" si="4"/>
        <v>1093385.0336215384</v>
      </c>
      <c r="J107" s="708"/>
    </row>
    <row r="108" spans="1:10" x14ac:dyDescent="0.4">
      <c r="A108" s="326" t="s">
        <v>212</v>
      </c>
      <c r="B108" s="327">
        <v>5.280609E-2</v>
      </c>
      <c r="C108" s="328">
        <f t="shared" si="3"/>
        <v>119237624.98073274</v>
      </c>
      <c r="F108" s="327">
        <v>4.0799872000000001E-2</v>
      </c>
      <c r="G108" s="328">
        <f t="shared" si="4"/>
        <v>54207453.218212143</v>
      </c>
      <c r="J108" s="708"/>
    </row>
    <row r="109" spans="1:10" x14ac:dyDescent="0.4">
      <c r="A109" s="326" t="s">
        <v>213</v>
      </c>
      <c r="B109" s="327">
        <v>7.1048280000000005E-2</v>
      </c>
      <c r="C109" s="328">
        <f t="shared" si="3"/>
        <v>160428999.12048203</v>
      </c>
      <c r="F109" s="327">
        <v>5.3769998999999999E-2</v>
      </c>
      <c r="G109" s="328">
        <f t="shared" si="4"/>
        <v>71439800.236035392</v>
      </c>
      <c r="J109" s="708"/>
    </row>
    <row r="110" spans="1:10" x14ac:dyDescent="0.4">
      <c r="A110" s="326" t="s">
        <v>214</v>
      </c>
      <c r="B110" s="327">
        <v>2.1869420000000001E-2</v>
      </c>
      <c r="C110" s="328">
        <f t="shared" si="3"/>
        <v>49381760.711806841</v>
      </c>
      <c r="F110" s="327">
        <v>2.7576171999999999E-2</v>
      </c>
      <c r="G110" s="328">
        <f t="shared" si="4"/>
        <v>36638204.493077122</v>
      </c>
      <c r="J110" s="708"/>
    </row>
    <row r="111" spans="1:10" x14ac:dyDescent="0.4">
      <c r="A111" s="326" t="s">
        <v>215</v>
      </c>
      <c r="B111" s="327">
        <v>1.9341299999999999E-2</v>
      </c>
      <c r="C111" s="328">
        <f t="shared" si="3"/>
        <v>43673195.194717996</v>
      </c>
      <c r="F111" s="327">
        <v>1.7110236000000001E-2</v>
      </c>
      <c r="G111" s="328">
        <f t="shared" si="4"/>
        <v>22732971.258404173</v>
      </c>
      <c r="J111" s="708"/>
    </row>
    <row r="112" spans="1:10" x14ac:dyDescent="0.4">
      <c r="A112" s="326" t="s">
        <v>216</v>
      </c>
      <c r="B112" s="327">
        <v>7.9490600000000008E-3</v>
      </c>
      <c r="C112" s="328">
        <f t="shared" si="3"/>
        <v>17949199.329648219</v>
      </c>
      <c r="F112" s="327">
        <v>7.0427980000000003E-3</v>
      </c>
      <c r="G112" s="328">
        <f t="shared" si="4"/>
        <v>9357189.7262402698</v>
      </c>
      <c r="J112" s="708"/>
    </row>
    <row r="113" spans="1:10" x14ac:dyDescent="0.4">
      <c r="A113" s="336" t="s">
        <v>176</v>
      </c>
      <c r="B113" s="337">
        <v>1.00915E-2</v>
      </c>
      <c r="C113" s="328">
        <f t="shared" si="3"/>
        <v>22786888.642826319</v>
      </c>
      <c r="D113" s="338"/>
      <c r="E113" s="338"/>
      <c r="F113" s="337">
        <v>1.0260501999999999E-2</v>
      </c>
      <c r="G113" s="328">
        <f t="shared" si="4"/>
        <v>13632289.879742075</v>
      </c>
      <c r="J113" s="708"/>
    </row>
    <row r="114" spans="1:10" x14ac:dyDescent="0.4">
      <c r="A114" s="336" t="s">
        <v>217</v>
      </c>
      <c r="B114" s="337">
        <v>7.55268E-3</v>
      </c>
      <c r="C114" s="328">
        <f t="shared" si="3"/>
        <v>17054162.227112073</v>
      </c>
      <c r="D114" s="338"/>
      <c r="E114" s="338"/>
      <c r="F114" s="337">
        <v>8.2043849999999998E-3</v>
      </c>
      <c r="G114" s="328">
        <f t="shared" si="4"/>
        <v>10900495.375860527</v>
      </c>
      <c r="J114" s="708"/>
    </row>
    <row r="115" spans="1:10" x14ac:dyDescent="0.4">
      <c r="A115" s="336" t="s">
        <v>218</v>
      </c>
      <c r="B115" s="337">
        <v>3.773899E-2</v>
      </c>
      <c r="C115" s="328">
        <f t="shared" si="3"/>
        <v>85215692.674303725</v>
      </c>
      <c r="D115" s="338"/>
      <c r="E115" s="338"/>
      <c r="F115" s="337">
        <v>6.0584719000000002E-2</v>
      </c>
      <c r="G115" s="328">
        <f t="shared" si="4"/>
        <v>80493961.376423642</v>
      </c>
      <c r="J115" s="708"/>
    </row>
    <row r="116" spans="1:10" x14ac:dyDescent="0.4">
      <c r="A116" s="336" t="s">
        <v>219</v>
      </c>
      <c r="B116" s="337">
        <v>5.7238000000000002E-3</v>
      </c>
      <c r="C116" s="328">
        <f t="shared" si="3"/>
        <v>12924500.145053687</v>
      </c>
      <c r="D116" s="338"/>
      <c r="E116" s="338"/>
      <c r="F116" s="337">
        <v>8.0574870000000003E-3</v>
      </c>
      <c r="G116" s="328">
        <f t="shared" si="4"/>
        <v>10705324.016919771</v>
      </c>
      <c r="J116" s="708"/>
    </row>
    <row r="117" spans="1:10" x14ac:dyDescent="0.4">
      <c r="A117" s="326" t="s">
        <v>220</v>
      </c>
      <c r="B117" s="327">
        <v>6.6754400000000004E-3</v>
      </c>
      <c r="C117" s="328">
        <f t="shared" si="3"/>
        <v>15073329.824294558</v>
      </c>
      <c r="F117" s="327">
        <v>5.067762E-3</v>
      </c>
      <c r="G117" s="328">
        <f t="shared" si="4"/>
        <v>6733120.9160664324</v>
      </c>
      <c r="J117" s="708"/>
    </row>
    <row r="118" spans="1:10" x14ac:dyDescent="0.4">
      <c r="A118" s="326" t="s">
        <v>221</v>
      </c>
      <c r="B118" s="327">
        <v>4.1705000000000003E-4</v>
      </c>
      <c r="C118" s="328">
        <f t="shared" si="3"/>
        <v>941710.53941343864</v>
      </c>
      <c r="F118" s="327">
        <v>1.83349E-4</v>
      </c>
      <c r="G118" s="328">
        <f t="shared" si="4"/>
        <v>243600.82159341034</v>
      </c>
      <c r="J118" s="708"/>
    </row>
    <row r="119" spans="1:10" x14ac:dyDescent="0.4">
      <c r="A119" s="326" t="s">
        <v>222</v>
      </c>
      <c r="B119" s="327">
        <v>1.7485999999999999E-3</v>
      </c>
      <c r="C119" s="328">
        <f t="shared" si="3"/>
        <v>3948387.6015306045</v>
      </c>
      <c r="F119" s="327">
        <v>1.3914120000000001E-3</v>
      </c>
      <c r="G119" s="328">
        <f t="shared" si="4"/>
        <v>1848655.3314985645</v>
      </c>
      <c r="J119" s="708"/>
    </row>
    <row r="120" spans="1:10" x14ac:dyDescent="0.4">
      <c r="A120" s="326" t="s">
        <v>223</v>
      </c>
      <c r="B120" s="327">
        <v>6.4839399999999997E-3</v>
      </c>
      <c r="C120" s="328">
        <f t="shared" si="3"/>
        <v>14640917.479737133</v>
      </c>
      <c r="F120" s="327">
        <v>1.0861127E-2</v>
      </c>
      <c r="G120" s="328">
        <f t="shared" si="4"/>
        <v>14430291.196736125</v>
      </c>
      <c r="J120" s="708"/>
    </row>
    <row r="121" spans="1:10" x14ac:dyDescent="0.4">
      <c r="A121" s="326" t="s">
        <v>224</v>
      </c>
      <c r="B121" s="327">
        <v>1.148453E-2</v>
      </c>
      <c r="C121" s="328">
        <f t="shared" si="3"/>
        <v>25932389.260783643</v>
      </c>
      <c r="F121" s="327">
        <v>6.9784139999999996E-3</v>
      </c>
      <c r="G121" s="328">
        <f t="shared" si="4"/>
        <v>9271647.9709131587</v>
      </c>
      <c r="J121" s="708"/>
    </row>
    <row r="122" spans="1:10" x14ac:dyDescent="0.4">
      <c r="A122" s="326" t="s">
        <v>225</v>
      </c>
      <c r="B122" s="327">
        <v>1.096107E-2</v>
      </c>
      <c r="C122" s="328">
        <f t="shared" si="3"/>
        <v>24750401.971582446</v>
      </c>
      <c r="F122" s="327">
        <v>1.1808945E-2</v>
      </c>
      <c r="G122" s="328">
        <f t="shared" si="4"/>
        <v>15689579.458581148</v>
      </c>
      <c r="J122" s="708"/>
    </row>
    <row r="123" spans="1:10" x14ac:dyDescent="0.4">
      <c r="A123" s="326" t="s">
        <v>226</v>
      </c>
      <c r="B123" s="327">
        <v>3.15045E-3</v>
      </c>
      <c r="C123" s="328">
        <f t="shared" si="3"/>
        <v>7113804.0256445697</v>
      </c>
      <c r="F123" s="327">
        <v>5.7500040000000004E-3</v>
      </c>
      <c r="G123" s="328">
        <f t="shared" si="4"/>
        <v>7639560.0661328714</v>
      </c>
      <c r="J123" s="708"/>
    </row>
    <row r="124" spans="1:10" x14ac:dyDescent="0.4">
      <c r="A124" s="326" t="s">
        <v>227</v>
      </c>
      <c r="B124" s="327">
        <v>3.0278200000000001E-3</v>
      </c>
      <c r="C124" s="328">
        <f t="shared" si="3"/>
        <v>6836902.0631741947</v>
      </c>
      <c r="F124" s="327">
        <v>1.4905109000000001E-3</v>
      </c>
      <c r="G124" s="328">
        <f t="shared" si="4"/>
        <v>1980319.935390613</v>
      </c>
      <c r="J124" s="708"/>
    </row>
    <row r="125" spans="1:10" x14ac:dyDescent="0.4">
      <c r="A125" s="326" t="s">
        <v>228</v>
      </c>
      <c r="B125" s="327">
        <v>1.1435600000000001E-3</v>
      </c>
      <c r="C125" s="328">
        <f t="shared" si="3"/>
        <v>2582190.3955200384</v>
      </c>
      <c r="F125" s="327">
        <v>6.2562700000000002E-4</v>
      </c>
      <c r="G125" s="328">
        <f t="shared" si="4"/>
        <v>831219.42967248545</v>
      </c>
      <c r="J125" s="708"/>
    </row>
    <row r="126" spans="1:10" x14ac:dyDescent="0.4">
      <c r="A126" s="326" t="s">
        <v>229</v>
      </c>
      <c r="B126" s="327">
        <v>1.182975E-2</v>
      </c>
      <c r="C126" s="328">
        <f t="shared" si="3"/>
        <v>26711905.655499641</v>
      </c>
      <c r="F126" s="327">
        <v>1.9109082999999999E-2</v>
      </c>
      <c r="G126" s="328">
        <f t="shared" si="4"/>
        <v>25388675.796959188</v>
      </c>
      <c r="J126" s="708"/>
    </row>
    <row r="127" spans="1:10" x14ac:dyDescent="0.4">
      <c r="A127" s="326" t="s">
        <v>230</v>
      </c>
      <c r="B127" s="327">
        <v>1.7122800000000001E-3</v>
      </c>
      <c r="C127" s="328">
        <f t="shared" si="3"/>
        <v>3866376.0278787743</v>
      </c>
      <c r="F127" s="327">
        <v>9.0280899999999997E-4</v>
      </c>
      <c r="G127" s="328">
        <f t="shared" si="4"/>
        <v>1199488.4844854632</v>
      </c>
      <c r="J127" s="708"/>
    </row>
    <row r="128" spans="1:10" x14ac:dyDescent="0.4">
      <c r="A128" s="326" t="s">
        <v>231</v>
      </c>
      <c r="B128" s="327">
        <v>1.120376E-2</v>
      </c>
      <c r="C128" s="328">
        <f t="shared" si="3"/>
        <v>25298402.764797285</v>
      </c>
      <c r="F128" s="327">
        <v>1.474775E-2</v>
      </c>
      <c r="G128" s="328">
        <f t="shared" si="4"/>
        <v>19594129.319790222</v>
      </c>
      <c r="J128" s="708"/>
    </row>
    <row r="129" spans="1:10" x14ac:dyDescent="0.4">
      <c r="A129" s="326" t="s">
        <v>232</v>
      </c>
      <c r="B129" s="327">
        <v>4.8909299999999999E-3</v>
      </c>
      <c r="C129" s="328">
        <f t="shared" si="3"/>
        <v>11043856.440554775</v>
      </c>
      <c r="F129" s="327">
        <v>2.6504570000000002E-3</v>
      </c>
      <c r="G129" s="328">
        <f t="shared" si="4"/>
        <v>3521445.45537748</v>
      </c>
      <c r="J129" s="708"/>
    </row>
    <row r="130" spans="1:10" x14ac:dyDescent="0.4">
      <c r="A130" s="326" t="s">
        <v>233</v>
      </c>
      <c r="B130" s="327">
        <v>3.6576E-3</v>
      </c>
      <c r="C130" s="328">
        <f t="shared" si="3"/>
        <v>8258962.8796513444</v>
      </c>
      <c r="F130" s="327">
        <v>0</v>
      </c>
      <c r="G130" s="328">
        <f t="shared" si="4"/>
        <v>0</v>
      </c>
      <c r="J130" s="708"/>
    </row>
    <row r="131" spans="1:10" x14ac:dyDescent="0.4">
      <c r="A131" s="326" t="s">
        <v>135</v>
      </c>
      <c r="B131" s="327">
        <v>1.4490960000000001E-2</v>
      </c>
      <c r="C131" s="332">
        <f t="shared" si="3"/>
        <v>32720992.106986124</v>
      </c>
      <c r="F131" s="327">
        <v>0</v>
      </c>
      <c r="G131" s="328">
        <f t="shared" si="4"/>
        <v>0</v>
      </c>
      <c r="J131" s="708"/>
    </row>
    <row r="132" spans="1:10" ht="14.65" thickBot="1" x14ac:dyDescent="0.45">
      <c r="A132" s="326" t="s">
        <v>136</v>
      </c>
      <c r="B132" s="709">
        <f>SUM(B72:B131)</f>
        <v>0.99999998999999995</v>
      </c>
      <c r="C132" s="330">
        <f>SUM(C72:C131)</f>
        <v>2258027886.3357701</v>
      </c>
      <c r="F132" s="334">
        <f>SUM(F72:F131)</f>
        <v>1</v>
      </c>
      <c r="G132" s="335">
        <f>SUM(G72:G131)</f>
        <v>1328618217.6800001</v>
      </c>
    </row>
    <row r="137" spans="1:10" ht="15.75" x14ac:dyDescent="0.45">
      <c r="A137" s="737" t="s">
        <v>153</v>
      </c>
      <c r="B137" s="737"/>
      <c r="C137" s="737"/>
      <c r="D137" s="737"/>
      <c r="E137" s="737"/>
      <c r="F137" s="737"/>
      <c r="G137" s="737"/>
    </row>
    <row r="139" spans="1:10" x14ac:dyDescent="0.45">
      <c r="A139" s="734" t="s">
        <v>141</v>
      </c>
      <c r="B139" s="734"/>
      <c r="C139" s="734"/>
      <c r="D139" s="734"/>
      <c r="E139" s="734"/>
      <c r="F139" s="734"/>
      <c r="G139" s="734"/>
    </row>
    <row r="140" spans="1:10" ht="15" customHeight="1" x14ac:dyDescent="0.45">
      <c r="A140" s="733" t="s">
        <v>237</v>
      </c>
      <c r="B140" s="733"/>
      <c r="C140" s="733"/>
      <c r="D140" s="733"/>
      <c r="E140" s="733"/>
      <c r="F140" s="733"/>
      <c r="G140" s="733"/>
    </row>
    <row r="141" spans="1:10" x14ac:dyDescent="0.45">
      <c r="A141" s="16"/>
      <c r="B141" s="16"/>
      <c r="C141" s="16"/>
      <c r="D141" s="16"/>
      <c r="E141" s="16"/>
      <c r="F141" s="16"/>
      <c r="G141" s="16"/>
    </row>
    <row r="142" spans="1:10" x14ac:dyDescent="0.45">
      <c r="B142" s="339" t="s">
        <v>85</v>
      </c>
      <c r="C142" s="343">
        <f>B27</f>
        <v>550340286.53725004</v>
      </c>
      <c r="D142" s="16"/>
      <c r="E142" s="16"/>
      <c r="F142" s="295" t="s">
        <v>86</v>
      </c>
      <c r="G142" s="340">
        <f>B28</f>
        <v>1241062433.724375</v>
      </c>
    </row>
    <row r="143" spans="1:10" ht="14.65" thickBot="1" x14ac:dyDescent="0.5">
      <c r="A143" s="16"/>
      <c r="B143" s="16"/>
      <c r="C143" s="16"/>
      <c r="D143" s="16"/>
      <c r="E143" s="16"/>
      <c r="F143" s="341"/>
    </row>
    <row r="144" spans="1:10" ht="14.65" thickBot="1" x14ac:dyDescent="0.5">
      <c r="A144" s="16"/>
      <c r="B144" s="735" t="s">
        <v>85</v>
      </c>
      <c r="C144" s="736"/>
      <c r="D144" s="16"/>
      <c r="E144" s="16"/>
      <c r="F144" s="735" t="s">
        <v>86</v>
      </c>
      <c r="G144" s="736"/>
    </row>
    <row r="145" spans="1:7" ht="6" customHeight="1" thickBot="1" x14ac:dyDescent="0.5">
      <c r="A145" s="16"/>
      <c r="B145" s="333"/>
      <c r="C145" s="162"/>
      <c r="D145" s="16"/>
      <c r="E145" s="16"/>
      <c r="F145" s="333"/>
      <c r="G145" s="162"/>
    </row>
    <row r="146" spans="1:7" x14ac:dyDescent="0.45">
      <c r="A146" s="345"/>
      <c r="B146" s="453" t="s">
        <v>266</v>
      </c>
      <c r="C146" s="328"/>
      <c r="F146" s="453" t="s">
        <v>323</v>
      </c>
      <c r="G146" s="328"/>
    </row>
    <row r="147" spans="1:7" x14ac:dyDescent="0.4">
      <c r="A147" s="336" t="s">
        <v>177</v>
      </c>
      <c r="B147" s="327">
        <v>4.4128000000000001E-2</v>
      </c>
      <c r="C147" s="328">
        <f>C$142*B147</f>
        <v>24285416.164315771</v>
      </c>
      <c r="F147" s="327">
        <v>3.6894191805200142E-2</v>
      </c>
      <c r="G147" s="328">
        <f>G$142*F147</f>
        <v>45787995.472055584</v>
      </c>
    </row>
    <row r="148" spans="1:7" x14ac:dyDescent="0.4">
      <c r="A148" s="326" t="s">
        <v>178</v>
      </c>
      <c r="B148" s="327">
        <v>2.5000000000000001E-5</v>
      </c>
      <c r="C148" s="328">
        <f t="shared" ref="C148:C205" si="5">C$142*B148</f>
        <v>13758.507163431252</v>
      </c>
      <c r="F148" s="327">
        <v>2.0298209004057839E-4</v>
      </c>
      <c r="G148" s="328">
        <f t="shared" ref="G148:G205" si="6">G$142*F148</f>
        <v>251913.44666822045</v>
      </c>
    </row>
    <row r="149" spans="1:7" x14ac:dyDescent="0.4">
      <c r="A149" s="326" t="s">
        <v>179</v>
      </c>
      <c r="B149" s="327">
        <v>1.1410000000000001E-3</v>
      </c>
      <c r="C149" s="328">
        <f t="shared" si="5"/>
        <v>627938.26693900232</v>
      </c>
      <c r="F149" s="327">
        <v>1.2449290074527915E-3</v>
      </c>
      <c r="G149" s="328">
        <f t="shared" si="6"/>
        <v>1545034.6238034321</v>
      </c>
    </row>
    <row r="150" spans="1:7" x14ac:dyDescent="0.4">
      <c r="A150" s="326" t="s">
        <v>180</v>
      </c>
      <c r="B150" s="327">
        <v>3.8180000000000002E-3</v>
      </c>
      <c r="C150" s="328">
        <f t="shared" si="5"/>
        <v>2101199.2139992206</v>
      </c>
      <c r="F150" s="327">
        <v>6.2582774043223677E-3</v>
      </c>
      <c r="G150" s="328">
        <f t="shared" si="6"/>
        <v>7766912.9863305818</v>
      </c>
    </row>
    <row r="151" spans="1:7" x14ac:dyDescent="0.4">
      <c r="A151" s="326" t="s">
        <v>181</v>
      </c>
      <c r="B151" s="327">
        <v>7.1100000000000004E-4</v>
      </c>
      <c r="C151" s="328">
        <f t="shared" si="5"/>
        <v>391291.94372798479</v>
      </c>
      <c r="F151" s="327">
        <v>1.0064869954086553E-3</v>
      </c>
      <c r="G151" s="328">
        <f t="shared" si="6"/>
        <v>1249113.2000337995</v>
      </c>
    </row>
    <row r="152" spans="1:7" x14ac:dyDescent="0.4">
      <c r="A152" s="326" t="s">
        <v>182</v>
      </c>
      <c r="B152" s="327">
        <v>2.9599999999999998E-4</v>
      </c>
      <c r="C152" s="328">
        <f t="shared" si="5"/>
        <v>162900.72481502601</v>
      </c>
      <c r="F152" s="327">
        <v>6.259261062587098E-4</v>
      </c>
      <c r="G152" s="328">
        <f t="shared" si="6"/>
        <v>776813.37676505616</v>
      </c>
    </row>
    <row r="153" spans="1:7" x14ac:dyDescent="0.4">
      <c r="A153" s="326" t="s">
        <v>183</v>
      </c>
      <c r="B153" s="327">
        <v>2.7404999999999999E-2</v>
      </c>
      <c r="C153" s="328">
        <f t="shared" si="5"/>
        <v>15082075.552553337</v>
      </c>
      <c r="F153" s="327">
        <v>1.8808721792264827E-2</v>
      </c>
      <c r="G153" s="328">
        <f t="shared" si="6"/>
        <v>23342798.042752873</v>
      </c>
    </row>
    <row r="154" spans="1:7" x14ac:dyDescent="0.4">
      <c r="A154" s="326" t="s">
        <v>184</v>
      </c>
      <c r="B154" s="327">
        <v>6.6200000000000005E-4</v>
      </c>
      <c r="C154" s="328">
        <f t="shared" si="5"/>
        <v>364325.26968765957</v>
      </c>
      <c r="F154" s="327">
        <v>8.8842509679051016E-4</v>
      </c>
      <c r="G154" s="328">
        <f t="shared" si="6"/>
        <v>1102591.0128046439</v>
      </c>
    </row>
    <row r="155" spans="1:7" x14ac:dyDescent="0.4">
      <c r="A155" s="326" t="s">
        <v>185</v>
      </c>
      <c r="B155" s="327">
        <v>4.8960000000000002E-3</v>
      </c>
      <c r="C155" s="328">
        <f t="shared" si="5"/>
        <v>2694466.0428863764</v>
      </c>
      <c r="F155" s="327">
        <v>3.2637003817425885E-3</v>
      </c>
      <c r="G155" s="328">
        <f t="shared" si="6"/>
        <v>4050455.9387126286</v>
      </c>
    </row>
    <row r="156" spans="1:7" x14ac:dyDescent="0.4">
      <c r="A156" s="326" t="s">
        <v>186</v>
      </c>
      <c r="B156" s="327">
        <v>2.9891999999999998E-2</v>
      </c>
      <c r="C156" s="328">
        <f t="shared" si="5"/>
        <v>16450771.845171478</v>
      </c>
      <c r="F156" s="327">
        <v>2.9535927203524662E-2</v>
      </c>
      <c r="G156" s="328">
        <f t="shared" si="6"/>
        <v>36655929.697512291</v>
      </c>
    </row>
    <row r="157" spans="1:7" x14ac:dyDescent="0.4">
      <c r="A157" s="326" t="s">
        <v>187</v>
      </c>
      <c r="B157" s="327">
        <v>9.5E-4</v>
      </c>
      <c r="C157" s="328">
        <f t="shared" si="5"/>
        <v>522823.27221038751</v>
      </c>
      <c r="F157" s="327">
        <v>1.0415821052762507E-3</v>
      </c>
      <c r="G157" s="328">
        <f t="shared" si="6"/>
        <v>1292668.4224979018</v>
      </c>
    </row>
    <row r="158" spans="1:7" x14ac:dyDescent="0.4">
      <c r="A158" s="326" t="s">
        <v>188</v>
      </c>
      <c r="B158" s="327">
        <v>2.2750000000000001E-3</v>
      </c>
      <c r="C158" s="328">
        <f t="shared" si="5"/>
        <v>1252024.151872244</v>
      </c>
      <c r="F158" s="327">
        <v>3.9097220079460319E-3</v>
      </c>
      <c r="G158" s="328">
        <f t="shared" si="6"/>
        <v>4852209.1103672525</v>
      </c>
    </row>
    <row r="159" spans="1:7" x14ac:dyDescent="0.4">
      <c r="A159" s="326" t="s">
        <v>189</v>
      </c>
      <c r="B159" s="327">
        <v>2.454E-3</v>
      </c>
      <c r="C159" s="328">
        <f t="shared" si="5"/>
        <v>1350535.0631624116</v>
      </c>
      <c r="F159" s="327">
        <v>4.3135223077862168E-3</v>
      </c>
      <c r="G159" s="328">
        <f t="shared" si="6"/>
        <v>5353350.4932255447</v>
      </c>
    </row>
    <row r="160" spans="1:7" x14ac:dyDescent="0.4">
      <c r="A160" s="326" t="s">
        <v>190</v>
      </c>
      <c r="B160" s="327">
        <v>7.36E-4</v>
      </c>
      <c r="C160" s="328">
        <f t="shared" si="5"/>
        <v>405050.45089141605</v>
      </c>
      <c r="F160" s="327">
        <v>6.2459379796383282E-4</v>
      </c>
      <c r="G160" s="328">
        <f t="shared" si="6"/>
        <v>775159.89899014495</v>
      </c>
    </row>
    <row r="161" spans="1:7" x14ac:dyDescent="0.4">
      <c r="A161" s="326" t="s">
        <v>191</v>
      </c>
      <c r="B161" s="327">
        <v>1.9900999999999999E-2</v>
      </c>
      <c r="C161" s="328">
        <f t="shared" si="5"/>
        <v>10952322.042377813</v>
      </c>
      <c r="F161" s="327">
        <v>3.259920040813729E-2</v>
      </c>
      <c r="G161" s="328">
        <f t="shared" si="6"/>
        <v>40457642.995991506</v>
      </c>
    </row>
    <row r="162" spans="1:7" x14ac:dyDescent="0.4">
      <c r="A162" s="326" t="s">
        <v>192</v>
      </c>
      <c r="B162" s="327">
        <v>1.9070000000000001E-3</v>
      </c>
      <c r="C162" s="328">
        <f t="shared" si="5"/>
        <v>1049498.9264265359</v>
      </c>
      <c r="F162" s="327">
        <v>6.2740866073972773E-3</v>
      </c>
      <c r="G162" s="328">
        <f t="shared" si="6"/>
        <v>7786533.1943739727</v>
      </c>
    </row>
    <row r="163" spans="1:7" x14ac:dyDescent="0.4">
      <c r="A163" s="326" t="s">
        <v>193</v>
      </c>
      <c r="B163" s="327">
        <v>1.0120000000000001E-3</v>
      </c>
      <c r="C163" s="328">
        <f t="shared" si="5"/>
        <v>556944.36997569713</v>
      </c>
      <c r="F163" s="327">
        <v>2.2549467999736033E-3</v>
      </c>
      <c r="G163" s="328">
        <f t="shared" si="6"/>
        <v>2798529.7634942317</v>
      </c>
    </row>
    <row r="164" spans="1:7" x14ac:dyDescent="0.4">
      <c r="A164" s="326" t="s">
        <v>194</v>
      </c>
      <c r="B164" s="327">
        <v>3.2600000000000001E-4</v>
      </c>
      <c r="C164" s="328">
        <f t="shared" si="5"/>
        <v>179410.93341114352</v>
      </c>
      <c r="F164" s="327">
        <v>1.2269515991935103E-3</v>
      </c>
      <c r="G164" s="328">
        <f t="shared" si="6"/>
        <v>1522723.5377571119</v>
      </c>
    </row>
    <row r="165" spans="1:7" x14ac:dyDescent="0.4">
      <c r="A165" s="326" t="s">
        <v>195</v>
      </c>
      <c r="B165" s="327">
        <v>0.29801899999999998</v>
      </c>
      <c r="C165" s="328">
        <f t="shared" si="5"/>
        <v>164011861.85354471</v>
      </c>
      <c r="F165" s="327">
        <v>0.31103580895214117</v>
      </c>
      <c r="G165" s="328">
        <f t="shared" si="6"/>
        <v>386014858.03357404</v>
      </c>
    </row>
    <row r="166" spans="1:7" x14ac:dyDescent="0.4">
      <c r="A166" s="326" t="s">
        <v>196</v>
      </c>
      <c r="B166" s="327">
        <v>2.624E-3</v>
      </c>
      <c r="C166" s="328">
        <f t="shared" si="5"/>
        <v>1444092.9118737441</v>
      </c>
      <c r="F166" s="327">
        <v>5.0348214158017048E-3</v>
      </c>
      <c r="G166" s="328">
        <f t="shared" si="6"/>
        <v>6248527.719662467</v>
      </c>
    </row>
    <row r="167" spans="1:7" x14ac:dyDescent="0.4">
      <c r="A167" s="326" t="s">
        <v>197</v>
      </c>
      <c r="B167" s="327">
        <v>6.1029999999999999E-3</v>
      </c>
      <c r="C167" s="328">
        <f t="shared" si="5"/>
        <v>3358726.768736837</v>
      </c>
      <c r="F167" s="327">
        <v>4.4591376081847189E-3</v>
      </c>
      <c r="G167" s="328">
        <f t="shared" si="6"/>
        <v>5534068.1723256158</v>
      </c>
    </row>
    <row r="168" spans="1:7" x14ac:dyDescent="0.4">
      <c r="A168" s="326" t="s">
        <v>198</v>
      </c>
      <c r="B168" s="327">
        <v>4.0200000000000001E-4</v>
      </c>
      <c r="C168" s="328">
        <f t="shared" si="5"/>
        <v>221236.79518797452</v>
      </c>
      <c r="F168" s="327">
        <v>5.1188218840830281E-4</v>
      </c>
      <c r="G168" s="328">
        <f t="shared" si="6"/>
        <v>635277.75452616729</v>
      </c>
    </row>
    <row r="169" spans="1:7" x14ac:dyDescent="0.4">
      <c r="A169" s="326" t="s">
        <v>199</v>
      </c>
      <c r="B169" s="327">
        <v>2.709E-3</v>
      </c>
      <c r="C169" s="328">
        <f t="shared" si="5"/>
        <v>1490871.8362294105</v>
      </c>
      <c r="F169" s="327">
        <v>2.0973535101401109E-3</v>
      </c>
      <c r="G169" s="328">
        <f t="shared" si="6"/>
        <v>2602946.6516748467</v>
      </c>
    </row>
    <row r="170" spans="1:7" x14ac:dyDescent="0.4">
      <c r="A170" s="326" t="s">
        <v>200</v>
      </c>
      <c r="B170" s="327">
        <v>5.7390000000000002E-3</v>
      </c>
      <c r="C170" s="328">
        <f t="shared" si="5"/>
        <v>3158402.9044372779</v>
      </c>
      <c r="F170" s="327">
        <v>7.0099329018094318E-3</v>
      </c>
      <c r="G170" s="328">
        <f t="shared" si="6"/>
        <v>8699764.3873641845</v>
      </c>
    </row>
    <row r="171" spans="1:7" x14ac:dyDescent="0.4">
      <c r="A171" s="326" t="s">
        <v>201</v>
      </c>
      <c r="B171" s="327">
        <v>2.12E-4</v>
      </c>
      <c r="C171" s="328">
        <f t="shared" si="5"/>
        <v>116672.14074589701</v>
      </c>
      <c r="F171" s="327">
        <v>2.8993169117777571E-4</v>
      </c>
      <c r="G171" s="328">
        <f t="shared" si="6"/>
        <v>359823.33026691421</v>
      </c>
    </row>
    <row r="172" spans="1:7" x14ac:dyDescent="0.4">
      <c r="A172" s="326" t="s">
        <v>202</v>
      </c>
      <c r="B172" s="327">
        <v>9.5699999999999995E-4</v>
      </c>
      <c r="C172" s="328">
        <f t="shared" si="5"/>
        <v>526675.65421614831</v>
      </c>
      <c r="F172" s="327">
        <v>5.2739320514546986E-4</v>
      </c>
      <c r="G172" s="328">
        <f t="shared" si="6"/>
        <v>654527.89470753539</v>
      </c>
    </row>
    <row r="173" spans="1:7" x14ac:dyDescent="0.4">
      <c r="A173" s="326" t="s">
        <v>203</v>
      </c>
      <c r="B173" s="327">
        <v>7.6689999999999996E-3</v>
      </c>
      <c r="C173" s="328">
        <f t="shared" si="5"/>
        <v>4220559.6574541703</v>
      </c>
      <c r="F173" s="327">
        <v>1.0076283199816264E-2</v>
      </c>
      <c r="G173" s="328">
        <f t="shared" si="6"/>
        <v>12505296.550860006</v>
      </c>
    </row>
    <row r="174" spans="1:7" x14ac:dyDescent="0.4">
      <c r="A174" s="326" t="s">
        <v>204</v>
      </c>
      <c r="B174" s="327">
        <v>3.2590000000000002E-3</v>
      </c>
      <c r="C174" s="328">
        <f t="shared" si="5"/>
        <v>1793558.993824898</v>
      </c>
      <c r="F174" s="327">
        <v>2.925765791635033E-3</v>
      </c>
      <c r="G174" s="328">
        <f t="shared" si="6"/>
        <v>3631058.0138740968</v>
      </c>
    </row>
    <row r="175" spans="1:7" x14ac:dyDescent="0.4">
      <c r="A175" s="326" t="s">
        <v>205</v>
      </c>
      <c r="B175" s="327">
        <v>1.684E-3</v>
      </c>
      <c r="C175" s="328">
        <f t="shared" si="5"/>
        <v>926773.04252872907</v>
      </c>
      <c r="F175" s="327">
        <v>1.7456345850303844E-3</v>
      </c>
      <c r="G175" s="328">
        <f t="shared" si="6"/>
        <v>2166441.5064912485</v>
      </c>
    </row>
    <row r="176" spans="1:7" x14ac:dyDescent="0.4">
      <c r="A176" s="326" t="s">
        <v>206</v>
      </c>
      <c r="B176" s="327">
        <v>8.6267999999999997E-2</v>
      </c>
      <c r="C176" s="328">
        <f t="shared" si="5"/>
        <v>47476755.838995486</v>
      </c>
      <c r="F176" s="327">
        <v>6.3938728699780373E-2</v>
      </c>
      <c r="G176" s="328">
        <f t="shared" si="6"/>
        <v>79351954.249391973</v>
      </c>
    </row>
    <row r="177" spans="1:7" x14ac:dyDescent="0.4">
      <c r="A177" s="326" t="s">
        <v>207</v>
      </c>
      <c r="B177" s="327">
        <v>7.6940000000000003E-3</v>
      </c>
      <c r="C177" s="328">
        <f t="shared" si="5"/>
        <v>4234318.1646176018</v>
      </c>
      <c r="F177" s="327">
        <v>6.4801628919652562E-3</v>
      </c>
      <c r="G177" s="328">
        <f t="shared" si="6"/>
        <v>8042286.7296327855</v>
      </c>
    </row>
    <row r="178" spans="1:7" x14ac:dyDescent="0.4">
      <c r="A178" s="326" t="s">
        <v>208</v>
      </c>
      <c r="B178" s="327">
        <v>7.7200000000000001E-4</v>
      </c>
      <c r="C178" s="328">
        <f t="shared" si="5"/>
        <v>424862.70120675705</v>
      </c>
      <c r="F178" s="327">
        <v>5.5035850110361187E-4</v>
      </c>
      <c r="G178" s="328">
        <f t="shared" si="6"/>
        <v>683029.26080054766</v>
      </c>
    </row>
    <row r="179" spans="1:7" x14ac:dyDescent="0.4">
      <c r="A179" s="326" t="s">
        <v>209</v>
      </c>
      <c r="B179" s="327">
        <v>3.2023000000000003E-2</v>
      </c>
      <c r="C179" s="328">
        <f t="shared" si="5"/>
        <v>17623546.99578236</v>
      </c>
      <c r="F179" s="327">
        <v>5.8817211292466136E-2</v>
      </c>
      <c r="G179" s="328">
        <f t="shared" si="6"/>
        <v>72995831.391508818</v>
      </c>
    </row>
    <row r="180" spans="1:7" x14ac:dyDescent="0.4">
      <c r="A180" s="326" t="s">
        <v>210</v>
      </c>
      <c r="B180" s="327">
        <v>5.1290000000000002E-2</v>
      </c>
      <c r="C180" s="328">
        <f t="shared" si="5"/>
        <v>28226953.296495557</v>
      </c>
      <c r="F180" s="327">
        <v>3.7535970797365009E-2</v>
      </c>
      <c r="G180" s="328">
        <f t="shared" si="6"/>
        <v>46584483.269984886</v>
      </c>
    </row>
    <row r="181" spans="1:7" x14ac:dyDescent="0.4">
      <c r="A181" s="326" t="s">
        <v>211</v>
      </c>
      <c r="B181" s="327">
        <v>7.7700000000000002E-4</v>
      </c>
      <c r="C181" s="328">
        <f t="shared" si="5"/>
        <v>427614.40263944329</v>
      </c>
      <c r="F181" s="327">
        <v>1.438382398447301E-3</v>
      </c>
      <c r="G181" s="328">
        <f t="shared" si="6"/>
        <v>1785122.360043311</v>
      </c>
    </row>
    <row r="182" spans="1:7" x14ac:dyDescent="0.4">
      <c r="A182" s="326" t="s">
        <v>212</v>
      </c>
      <c r="B182" s="327">
        <v>5.2226000000000002E-2</v>
      </c>
      <c r="C182" s="328">
        <f t="shared" si="5"/>
        <v>28742071.804694422</v>
      </c>
      <c r="F182" s="327">
        <v>7.5599950594165286E-2</v>
      </c>
      <c r="G182" s="328">
        <f t="shared" si="6"/>
        <v>93824258.673837274</v>
      </c>
    </row>
    <row r="183" spans="1:7" x14ac:dyDescent="0.4">
      <c r="A183" s="326" t="s">
        <v>213</v>
      </c>
      <c r="B183" s="327">
        <v>6.7499000000000003E-2</v>
      </c>
      <c r="C183" s="328">
        <f t="shared" si="5"/>
        <v>37147419.000977844</v>
      </c>
      <c r="F183" s="327">
        <v>6.1812339903338807E-2</v>
      </c>
      <c r="G183" s="328">
        <f t="shared" si="6"/>
        <v>76712972.994635954</v>
      </c>
    </row>
    <row r="184" spans="1:7" x14ac:dyDescent="0.4">
      <c r="A184" s="326" t="s">
        <v>214</v>
      </c>
      <c r="B184" s="327">
        <v>2.2669000000000002E-2</v>
      </c>
      <c r="C184" s="328">
        <f t="shared" si="5"/>
        <v>12475663.955512922</v>
      </c>
      <c r="F184" s="327">
        <v>1.8383156101901218E-2</v>
      </c>
      <c r="G184" s="328">
        <f t="shared" si="6"/>
        <v>22814644.451360621</v>
      </c>
    </row>
    <row r="185" spans="1:7" x14ac:dyDescent="0.4">
      <c r="A185" s="326" t="s">
        <v>215</v>
      </c>
      <c r="B185" s="327">
        <v>1.7058E-2</v>
      </c>
      <c r="C185" s="328">
        <f t="shared" si="5"/>
        <v>9387704.6077524107</v>
      </c>
      <c r="F185" s="327">
        <v>1.9424665107507816E-2</v>
      </c>
      <c r="G185" s="328">
        <f t="shared" si="6"/>
        <v>24107222.152604599</v>
      </c>
    </row>
    <row r="186" spans="1:7" x14ac:dyDescent="0.4">
      <c r="A186" s="326" t="s">
        <v>216</v>
      </c>
      <c r="B186" s="327">
        <v>8.2990000000000008E-3</v>
      </c>
      <c r="C186" s="328">
        <f t="shared" si="5"/>
        <v>4567274.0379726384</v>
      </c>
      <c r="F186" s="327">
        <v>6.4687360032512501E-3</v>
      </c>
      <c r="G186" s="328">
        <f t="shared" si="6"/>
        <v>8028105.2473154832</v>
      </c>
    </row>
    <row r="187" spans="1:7" x14ac:dyDescent="0.4">
      <c r="A187" s="336" t="s">
        <v>176</v>
      </c>
      <c r="B187" s="337">
        <v>2.0628000000000001E-2</v>
      </c>
      <c r="C187" s="328">
        <f t="shared" si="5"/>
        <v>11352419.430690395</v>
      </c>
      <c r="D187" s="338"/>
      <c r="E187" s="338"/>
      <c r="F187" s="337">
        <v>1.3149410702188823E-2</v>
      </c>
      <c r="G187" s="328">
        <f t="shared" si="6"/>
        <v>16319239.648099804</v>
      </c>
    </row>
    <row r="188" spans="1:7" x14ac:dyDescent="0.4">
      <c r="A188" s="336" t="s">
        <v>217</v>
      </c>
      <c r="B188" s="337">
        <v>1.3638000000000001E-2</v>
      </c>
      <c r="C188" s="328">
        <f t="shared" si="5"/>
        <v>7505540.8277950166</v>
      </c>
      <c r="D188" s="338"/>
      <c r="E188" s="338"/>
      <c r="F188" s="337">
        <v>1.00032018050784E-2</v>
      </c>
      <c r="G188" s="328">
        <f t="shared" si="6"/>
        <v>12414597.977246659</v>
      </c>
    </row>
    <row r="189" spans="1:7" x14ac:dyDescent="0.4">
      <c r="A189" s="336" t="s">
        <v>218</v>
      </c>
      <c r="B189" s="337">
        <v>6.0031000000000001E-2</v>
      </c>
      <c r="C189" s="328">
        <f t="shared" si="5"/>
        <v>33037477.741117656</v>
      </c>
      <c r="D189" s="338"/>
      <c r="E189" s="338"/>
      <c r="F189" s="337">
        <v>3.7302681093101801E-2</v>
      </c>
      <c r="G189" s="328">
        <f t="shared" si="6"/>
        <v>46294956.181849152</v>
      </c>
    </row>
    <row r="190" spans="1:7" x14ac:dyDescent="0.4">
      <c r="A190" s="336" t="s">
        <v>219</v>
      </c>
      <c r="B190" s="337">
        <v>6.038E-3</v>
      </c>
      <c r="C190" s="328">
        <f t="shared" si="5"/>
        <v>3322954.6501119155</v>
      </c>
      <c r="D190" s="338"/>
      <c r="E190" s="338"/>
      <c r="F190" s="337">
        <v>6.1688584049696283E-3</v>
      </c>
      <c r="G190" s="328">
        <f t="shared" si="6"/>
        <v>7655938.4253726732</v>
      </c>
    </row>
    <row r="191" spans="1:7" x14ac:dyDescent="0.4">
      <c r="A191" s="326" t="s">
        <v>220</v>
      </c>
      <c r="B191" s="327">
        <v>0</v>
      </c>
      <c r="C191" s="328">
        <f t="shared" si="5"/>
        <v>0</v>
      </c>
      <c r="F191" s="327">
        <v>6.1348790040916526E-3</v>
      </c>
      <c r="G191" s="328">
        <f t="shared" si="6"/>
        <v>7613767.8674225565</v>
      </c>
    </row>
    <row r="192" spans="1:7" x14ac:dyDescent="0.4">
      <c r="A192" s="326" t="s">
        <v>221</v>
      </c>
      <c r="B192" s="327">
        <v>5.5000000000000002E-5</v>
      </c>
      <c r="C192" s="328">
        <f t="shared" si="5"/>
        <v>30268.715759548755</v>
      </c>
      <c r="F192" s="327">
        <v>2.0860190704771907E-4</v>
      </c>
      <c r="G192" s="328">
        <f t="shared" si="6"/>
        <v>258887.99044018809</v>
      </c>
    </row>
    <row r="193" spans="1:7" x14ac:dyDescent="0.4">
      <c r="A193" s="326" t="s">
        <v>222</v>
      </c>
      <c r="B193" s="327">
        <v>1.274E-3</v>
      </c>
      <c r="C193" s="328">
        <f t="shared" si="5"/>
        <v>701133.5250484565</v>
      </c>
      <c r="F193" s="327">
        <v>1.1702248018544026E-3</v>
      </c>
      <c r="G193" s="328">
        <f t="shared" si="6"/>
        <v>1452322.0405940495</v>
      </c>
    </row>
    <row r="194" spans="1:7" x14ac:dyDescent="0.4">
      <c r="A194" s="326" t="s">
        <v>223</v>
      </c>
      <c r="B194" s="327">
        <v>1.1398E-2</v>
      </c>
      <c r="C194" s="328">
        <f t="shared" si="5"/>
        <v>6272778.585951576</v>
      </c>
      <c r="F194" s="327">
        <v>9.450588708271734E-3</v>
      </c>
      <c r="G194" s="328">
        <f t="shared" si="6"/>
        <v>11728770.622415816</v>
      </c>
    </row>
    <row r="195" spans="1:7" x14ac:dyDescent="0.4">
      <c r="A195" s="326" t="s">
        <v>224</v>
      </c>
      <c r="B195" s="327">
        <v>1.4352999999999999E-2</v>
      </c>
      <c r="C195" s="328">
        <f t="shared" si="5"/>
        <v>7899034.1326691499</v>
      </c>
      <c r="F195" s="327">
        <v>8.7880194061942495E-3</v>
      </c>
      <c r="G195" s="328">
        <f t="shared" si="6"/>
        <v>10906480.751868472</v>
      </c>
    </row>
    <row r="196" spans="1:7" x14ac:dyDescent="0.4">
      <c r="A196" s="326" t="s">
        <v>225</v>
      </c>
      <c r="B196" s="327">
        <v>9.2999999999999992E-3</v>
      </c>
      <c r="C196" s="328">
        <f t="shared" si="5"/>
        <v>5118164.664796425</v>
      </c>
      <c r="F196" s="327">
        <v>1.6040098087808638E-2</v>
      </c>
      <c r="G196" s="328">
        <f t="shared" si="6"/>
        <v>19906763.170033481</v>
      </c>
    </row>
    <row r="197" spans="1:7" x14ac:dyDescent="0.4">
      <c r="A197" s="326" t="s">
        <v>226</v>
      </c>
      <c r="B197" s="327">
        <v>1.111E-3</v>
      </c>
      <c r="C197" s="328">
        <f t="shared" si="5"/>
        <v>611428.05834288476</v>
      </c>
      <c r="F197" s="327">
        <v>2.4502124957474932E-3</v>
      </c>
      <c r="G197" s="328">
        <f t="shared" si="6"/>
        <v>3040866.6831142586</v>
      </c>
    </row>
    <row r="198" spans="1:7" x14ac:dyDescent="0.4">
      <c r="A198" s="326" t="s">
        <v>227</v>
      </c>
      <c r="B198" s="327">
        <v>1.139E-3</v>
      </c>
      <c r="C198" s="328">
        <f t="shared" si="5"/>
        <v>626837.58636592783</v>
      </c>
      <c r="F198" s="327">
        <v>2.5700419147624246E-3</v>
      </c>
      <c r="G198" s="328">
        <f t="shared" si="6"/>
        <v>3189582.4735087072</v>
      </c>
    </row>
    <row r="199" spans="1:7" x14ac:dyDescent="0.4">
      <c r="A199" s="326" t="s">
        <v>228</v>
      </c>
      <c r="B199" s="327">
        <v>0</v>
      </c>
      <c r="C199" s="328">
        <f t="shared" si="5"/>
        <v>0</v>
      </c>
      <c r="F199" s="327">
        <v>5.2382770916591169E-4</v>
      </c>
      <c r="G199" s="328">
        <f t="shared" si="6"/>
        <v>650102.89158971049</v>
      </c>
    </row>
    <row r="200" spans="1:7" x14ac:dyDescent="0.4">
      <c r="A200" s="326" t="s">
        <v>229</v>
      </c>
      <c r="B200" s="327">
        <v>1.1402000000000001E-2</v>
      </c>
      <c r="C200" s="328">
        <f t="shared" si="5"/>
        <v>6274979.9470977252</v>
      </c>
      <c r="F200" s="327">
        <v>1.4334487206183319E-2</v>
      </c>
      <c r="G200" s="328">
        <f t="shared" si="6"/>
        <v>17789993.578296788</v>
      </c>
    </row>
    <row r="201" spans="1:7" x14ac:dyDescent="0.4">
      <c r="A201" s="326" t="s">
        <v>230</v>
      </c>
      <c r="B201" s="327">
        <v>2.0590000000000001E-3</v>
      </c>
      <c r="C201" s="328">
        <f t="shared" si="5"/>
        <v>1133150.6499801979</v>
      </c>
      <c r="F201" s="327">
        <v>1.6036795862600795E-3</v>
      </c>
      <c r="G201" s="328">
        <f t="shared" si="6"/>
        <v>1990266.490238033</v>
      </c>
    </row>
    <row r="202" spans="1:7" x14ac:dyDescent="0.4">
      <c r="A202" s="326" t="s">
        <v>231</v>
      </c>
      <c r="B202" s="327">
        <v>2.2509000000000001E-2</v>
      </c>
      <c r="C202" s="328">
        <f t="shared" si="5"/>
        <v>12387609.509666963</v>
      </c>
      <c r="F202" s="327">
        <v>1.4717734688775283E-2</v>
      </c>
      <c r="G202" s="328">
        <f t="shared" si="6"/>
        <v>18265627.631761111</v>
      </c>
    </row>
    <row r="203" spans="1:7" x14ac:dyDescent="0.4">
      <c r="A203" s="326" t="s">
        <v>232</v>
      </c>
      <c r="B203" s="327">
        <v>5.4910000000000002E-3</v>
      </c>
      <c r="C203" s="328">
        <f t="shared" si="5"/>
        <v>3021918.5133760399</v>
      </c>
      <c r="F203" s="327">
        <v>6.0396865122898831E-3</v>
      </c>
      <c r="G203" s="328">
        <f t="shared" si="6"/>
        <v>7495628.0418747645</v>
      </c>
    </row>
    <row r="204" spans="1:7" x14ac:dyDescent="0.4">
      <c r="A204" s="326" t="s">
        <v>233</v>
      </c>
      <c r="B204" s="327">
        <v>1.0870000000000001E-3</v>
      </c>
      <c r="C204" s="328">
        <f t="shared" si="5"/>
        <v>598219.8914659908</v>
      </c>
      <c r="F204" s="327">
        <v>2.2059851089463647E-3</v>
      </c>
      <c r="G204" s="328">
        <f t="shared" si="6"/>
        <v>2737765.2480687057</v>
      </c>
    </row>
    <row r="205" spans="1:7" x14ac:dyDescent="0.4">
      <c r="A205" s="326" t="s">
        <v>135</v>
      </c>
      <c r="B205" s="331">
        <v>0</v>
      </c>
      <c r="C205" s="332">
        <f t="shared" si="5"/>
        <v>0</v>
      </c>
      <c r="F205" s="327">
        <v>0</v>
      </c>
      <c r="G205" s="328">
        <f t="shared" si="6"/>
        <v>0</v>
      </c>
    </row>
    <row r="206" spans="1:7" ht="14.65" thickBot="1" x14ac:dyDescent="0.45">
      <c r="A206" s="326" t="s">
        <v>136</v>
      </c>
      <c r="B206" s="329">
        <f>SUM(B147:B205)</f>
        <v>1</v>
      </c>
      <c r="C206" s="330">
        <f>SUM(C147:C205)</f>
        <v>550340286.53724992</v>
      </c>
      <c r="F206" s="334">
        <f>SUM(F147:F205)</f>
        <v>0.99999999999999989</v>
      </c>
      <c r="G206" s="335">
        <f>SUM(G147:G205)</f>
        <v>1241062433.7243748</v>
      </c>
    </row>
    <row r="211" spans="1:7" x14ac:dyDescent="0.45">
      <c r="A211" s="734" t="s">
        <v>141</v>
      </c>
      <c r="B211" s="734"/>
      <c r="C211" s="734"/>
      <c r="D211" s="734"/>
      <c r="E211" s="734"/>
      <c r="F211" s="734"/>
      <c r="G211" s="734"/>
    </row>
    <row r="212" spans="1:7" ht="15" customHeight="1" x14ac:dyDescent="0.45">
      <c r="A212" s="733" t="s">
        <v>237</v>
      </c>
      <c r="B212" s="733"/>
      <c r="C212" s="733"/>
      <c r="D212" s="733"/>
      <c r="E212" s="733"/>
      <c r="F212" s="733"/>
      <c r="G212" s="733"/>
    </row>
    <row r="213" spans="1:7" x14ac:dyDescent="0.45">
      <c r="A213" s="16"/>
      <c r="B213" s="16"/>
      <c r="C213" s="16"/>
      <c r="D213" s="16"/>
      <c r="E213" s="16"/>
      <c r="F213" s="16"/>
      <c r="G213" s="16"/>
    </row>
    <row r="214" spans="1:7" x14ac:dyDescent="0.45">
      <c r="B214" s="339" t="s">
        <v>152</v>
      </c>
      <c r="C214" s="343">
        <f>B29</f>
        <v>33244162.253625002</v>
      </c>
      <c r="D214" s="16"/>
      <c r="E214" s="16"/>
      <c r="F214" s="295" t="s">
        <v>105</v>
      </c>
      <c r="G214" s="340">
        <f>B30</f>
        <v>152715286.53724998</v>
      </c>
    </row>
    <row r="215" spans="1:7" ht="14.65" thickBot="1" x14ac:dyDescent="0.5">
      <c r="A215" s="16"/>
      <c r="B215" s="16"/>
      <c r="C215" s="16"/>
      <c r="D215" s="16"/>
      <c r="E215" s="16"/>
      <c r="F215" s="381"/>
    </row>
    <row r="216" spans="1:7" ht="14.65" thickBot="1" x14ac:dyDescent="0.5">
      <c r="A216" s="16"/>
      <c r="B216" s="735" t="s">
        <v>151</v>
      </c>
      <c r="C216" s="736"/>
      <c r="D216" s="16"/>
      <c r="E216" s="16"/>
      <c r="F216" s="731" t="s">
        <v>105</v>
      </c>
      <c r="G216" s="732"/>
    </row>
    <row r="217" spans="1:7" ht="6" customHeight="1" thickBot="1" x14ac:dyDescent="0.5">
      <c r="A217" s="16"/>
      <c r="B217" s="333"/>
      <c r="C217" s="162"/>
      <c r="D217" s="16"/>
      <c r="E217" s="16"/>
      <c r="F217" s="333"/>
      <c r="G217" s="162"/>
    </row>
    <row r="218" spans="1:7" x14ac:dyDescent="0.45">
      <c r="A218" s="345"/>
      <c r="B218" s="453" t="s">
        <v>324</v>
      </c>
      <c r="C218" s="328"/>
      <c r="F218" s="548" t="s">
        <v>265</v>
      </c>
      <c r="G218" s="328"/>
    </row>
    <row r="219" spans="1:7" x14ac:dyDescent="0.4">
      <c r="A219" s="336" t="s">
        <v>177</v>
      </c>
      <c r="B219" s="650">
        <v>2.71505137E-2</v>
      </c>
      <c r="C219" s="328">
        <f>C$214*B219</f>
        <v>902596.08271206846</v>
      </c>
      <c r="F219" s="379">
        <f>G219/G$214</f>
        <v>3.2982263560408294E-2</v>
      </c>
      <c r="G219" s="328">
        <f>C291+G291</f>
        <v>5036895.8302748511</v>
      </c>
    </row>
    <row r="220" spans="1:7" x14ac:dyDescent="0.4">
      <c r="A220" s="326" t="s">
        <v>178</v>
      </c>
      <c r="B220" s="650">
        <v>2.124452E-4</v>
      </c>
      <c r="C220" s="328">
        <f t="shared" ref="C220:C277" si="7">C$214*B220</f>
        <v>7062.5626988038148</v>
      </c>
      <c r="F220" s="379">
        <f t="shared" ref="F220:F277" si="8">G220/G$214</f>
        <v>7.66131529340966E-4</v>
      </c>
      <c r="G220" s="328">
        <f t="shared" ref="G220:G277" si="9">C292+G292</f>
        <v>116999.99602852717</v>
      </c>
    </row>
    <row r="221" spans="1:7" x14ac:dyDescent="0.4">
      <c r="A221" s="326" t="s">
        <v>179</v>
      </c>
      <c r="B221" s="650">
        <v>1.5088835999999999E-3</v>
      </c>
      <c r="C221" s="328">
        <f t="shared" si="7"/>
        <v>50161.571220233804</v>
      </c>
      <c r="F221" s="379">
        <f t="shared" si="8"/>
        <v>8.9285481316020996E-4</v>
      </c>
      <c r="G221" s="328">
        <f t="shared" si="9"/>
        <v>136352.57862792426</v>
      </c>
    </row>
    <row r="222" spans="1:7" x14ac:dyDescent="0.4">
      <c r="A222" s="326" t="s">
        <v>180</v>
      </c>
      <c r="B222" s="650">
        <v>7.5819726000000004E-3</v>
      </c>
      <c r="C222" s="328">
        <f t="shared" si="7"/>
        <v>252056.32731693902</v>
      </c>
      <c r="F222" s="379">
        <f t="shared" si="8"/>
        <v>5.348144602763007E-3</v>
      </c>
      <c r="G222" s="328">
        <f t="shared" si="9"/>
        <v>816743.43545359955</v>
      </c>
    </row>
    <row r="223" spans="1:7" x14ac:dyDescent="0.4">
      <c r="A223" s="326" t="s">
        <v>181</v>
      </c>
      <c r="B223" s="650">
        <v>9.8388360000000005E-4</v>
      </c>
      <c r="C223" s="328">
        <f t="shared" si="7"/>
        <v>32708.386037080683</v>
      </c>
      <c r="F223" s="379">
        <f t="shared" si="8"/>
        <v>8.1180690081811659E-4</v>
      </c>
      <c r="G223" s="328">
        <f t="shared" si="9"/>
        <v>123975.32347135556</v>
      </c>
    </row>
    <row r="224" spans="1:7" x14ac:dyDescent="0.4">
      <c r="A224" s="326" t="s">
        <v>182</v>
      </c>
      <c r="B224" s="650">
        <v>5.9302740000000001E-4</v>
      </c>
      <c r="C224" s="328">
        <f t="shared" si="7"/>
        <v>19714.699106445376</v>
      </c>
      <c r="F224" s="379">
        <f t="shared" si="8"/>
        <v>7.66131529340966E-4</v>
      </c>
      <c r="G224" s="328">
        <f t="shared" si="9"/>
        <v>116999.99602852717</v>
      </c>
    </row>
    <row r="225" spans="1:7" x14ac:dyDescent="0.4">
      <c r="A225" s="326" t="s">
        <v>183</v>
      </c>
      <c r="B225" s="650">
        <v>1.4204856199999999E-2</v>
      </c>
      <c r="C225" s="328">
        <f t="shared" si="7"/>
        <v>472228.54430221103</v>
      </c>
      <c r="F225" s="379">
        <f t="shared" si="8"/>
        <v>2.7897096680597103E-2</v>
      </c>
      <c r="G225" s="328">
        <f t="shared" si="9"/>
        <v>4260313.113134752</v>
      </c>
    </row>
    <row r="226" spans="1:7" x14ac:dyDescent="0.4">
      <c r="A226" s="326" t="s">
        <v>184</v>
      </c>
      <c r="B226" s="650">
        <v>6.2786299999999999E-4</v>
      </c>
      <c r="C226" s="328">
        <f t="shared" si="7"/>
        <v>20872.779445047756</v>
      </c>
      <c r="F226" s="379">
        <f t="shared" si="8"/>
        <v>7.66131529340966E-4</v>
      </c>
      <c r="G226" s="328">
        <f t="shared" si="9"/>
        <v>116999.99602852717</v>
      </c>
    </row>
    <row r="227" spans="1:7" x14ac:dyDescent="0.4">
      <c r="A227" s="326" t="s">
        <v>185</v>
      </c>
      <c r="B227" s="650">
        <v>3.4863630000000001E-3</v>
      </c>
      <c r="C227" s="328">
        <f t="shared" si="7"/>
        <v>115901.21724703483</v>
      </c>
      <c r="F227" s="379">
        <f t="shared" si="8"/>
        <v>3.094673679834326E-3</v>
      </c>
      <c r="G227" s="328">
        <f t="shared" si="9"/>
        <v>472603.97775518493</v>
      </c>
    </row>
    <row r="228" spans="1:7" x14ac:dyDescent="0.4">
      <c r="A228" s="326" t="s">
        <v>186</v>
      </c>
      <c r="B228" s="650">
        <v>2.49085205E-2</v>
      </c>
      <c r="C228" s="328">
        <f t="shared" si="7"/>
        <v>828062.89699974458</v>
      </c>
      <c r="F228" s="379">
        <f t="shared" si="8"/>
        <v>3.692406845718843E-2</v>
      </c>
      <c r="G228" s="328">
        <f t="shared" si="9"/>
        <v>5638869.6945605651</v>
      </c>
    </row>
    <row r="229" spans="1:7" x14ac:dyDescent="0.4">
      <c r="A229" s="326" t="s">
        <v>187</v>
      </c>
      <c r="B229" s="650">
        <v>9.1560960000000005E-4</v>
      </c>
      <c r="C229" s="328">
        <f t="shared" si="7"/>
        <v>30438.674103376688</v>
      </c>
      <c r="F229" s="379">
        <f t="shared" si="8"/>
        <v>7.66131529340966E-4</v>
      </c>
      <c r="G229" s="328">
        <f t="shared" si="9"/>
        <v>116999.99602852717</v>
      </c>
    </row>
    <row r="230" spans="1:7" x14ac:dyDescent="0.4">
      <c r="A230" s="326" t="s">
        <v>188</v>
      </c>
      <c r="B230" s="650">
        <v>4.2641027000000003E-3</v>
      </c>
      <c r="C230" s="328">
        <f t="shared" si="7"/>
        <v>141756.52202492047</v>
      </c>
      <c r="F230" s="379">
        <f t="shared" si="8"/>
        <v>4.721134154593614E-3</v>
      </c>
      <c r="G230" s="328">
        <f t="shared" si="9"/>
        <v>720989.35519956122</v>
      </c>
    </row>
    <row r="231" spans="1:7" x14ac:dyDescent="0.4">
      <c r="A231" s="326" t="s">
        <v>189</v>
      </c>
      <c r="B231" s="650">
        <v>3.6655068000000001E-3</v>
      </c>
      <c r="C231" s="328">
        <f t="shared" si="7"/>
        <v>121856.70280096577</v>
      </c>
      <c r="F231" s="379">
        <f t="shared" si="8"/>
        <v>3.6912986594940691E-3</v>
      </c>
      <c r="G231" s="328">
        <f t="shared" si="9"/>
        <v>563717.73247920349</v>
      </c>
    </row>
    <row r="232" spans="1:7" x14ac:dyDescent="0.4">
      <c r="A232" s="326" t="s">
        <v>190</v>
      </c>
      <c r="B232" s="650">
        <v>5.2989040000000001E-4</v>
      </c>
      <c r="C232" s="328">
        <f t="shared" si="7"/>
        <v>17615.762434238255</v>
      </c>
      <c r="F232" s="379">
        <f t="shared" si="8"/>
        <v>8.9285481316020996E-4</v>
      </c>
      <c r="G232" s="328">
        <f t="shared" si="9"/>
        <v>136352.57862792426</v>
      </c>
    </row>
    <row r="233" spans="1:7" x14ac:dyDescent="0.4">
      <c r="A233" s="326" t="s">
        <v>191</v>
      </c>
      <c r="B233" s="650">
        <v>3.02203425E-2</v>
      </c>
      <c r="C233" s="328">
        <f t="shared" si="7"/>
        <v>1004649.9694301194</v>
      </c>
      <c r="F233" s="379">
        <f t="shared" si="8"/>
        <v>2.799847926790346E-2</v>
      </c>
      <c r="G233" s="328">
        <f t="shared" si="9"/>
        <v>4275795.7840051297</v>
      </c>
    </row>
    <row r="234" spans="1:7" x14ac:dyDescent="0.4">
      <c r="A234" s="326" t="s">
        <v>192</v>
      </c>
      <c r="B234" s="650">
        <v>7.9594452E-3</v>
      </c>
      <c r="C234" s="328">
        <f t="shared" si="7"/>
        <v>264605.08767763671</v>
      </c>
      <c r="F234" s="379">
        <f t="shared" si="8"/>
        <v>7.0344062849055878E-3</v>
      </c>
      <c r="G234" s="328">
        <f t="shared" si="9"/>
        <v>1074261.371418789</v>
      </c>
    </row>
    <row r="235" spans="1:7" x14ac:dyDescent="0.4">
      <c r="A235" s="326" t="s">
        <v>193</v>
      </c>
      <c r="B235" s="650">
        <v>2.282774E-3</v>
      </c>
      <c r="C235" s="328">
        <f t="shared" si="7"/>
        <v>75888.909244356561</v>
      </c>
      <c r="F235" s="379">
        <f t="shared" si="8"/>
        <v>1.2855680652736645E-3</v>
      </c>
      <c r="G235" s="328">
        <f t="shared" si="9"/>
        <v>196325.89545140576</v>
      </c>
    </row>
    <row r="236" spans="1:7" x14ac:dyDescent="0.4">
      <c r="A236" s="326" t="s">
        <v>194</v>
      </c>
      <c r="B236" s="650">
        <v>1.0647877E-3</v>
      </c>
      <c r="C236" s="328">
        <f t="shared" si="7"/>
        <v>35397.975064464183</v>
      </c>
      <c r="F236" s="379">
        <f t="shared" si="8"/>
        <v>7.66131529340966E-4</v>
      </c>
      <c r="G236" s="328">
        <f t="shared" si="9"/>
        <v>116999.99602852717</v>
      </c>
    </row>
    <row r="237" spans="1:7" x14ac:dyDescent="0.4">
      <c r="A237" s="326" t="s">
        <v>195</v>
      </c>
      <c r="B237" s="650">
        <v>0.3176919996</v>
      </c>
      <c r="C237" s="328">
        <f t="shared" si="7"/>
        <v>10561404.38138097</v>
      </c>
      <c r="F237" s="379">
        <f t="shared" si="8"/>
        <v>0.21903578374250923</v>
      </c>
      <c r="G237" s="328">
        <f t="shared" si="9"/>
        <v>33450112.476148419</v>
      </c>
    </row>
    <row r="238" spans="1:7" x14ac:dyDescent="0.4">
      <c r="A238" s="326" t="s">
        <v>196</v>
      </c>
      <c r="B238" s="650">
        <v>4.6762466000000004E-3</v>
      </c>
      <c r="C238" s="328">
        <f t="shared" si="7"/>
        <v>155457.90070836226</v>
      </c>
      <c r="F238" s="379">
        <f t="shared" si="8"/>
        <v>4.7805148787895017E-3</v>
      </c>
      <c r="G238" s="328">
        <f t="shared" si="9"/>
        <v>730057.69950992567</v>
      </c>
    </row>
    <row r="239" spans="1:7" x14ac:dyDescent="0.4">
      <c r="A239" s="326" t="s">
        <v>197</v>
      </c>
      <c r="B239" s="650">
        <v>3.9065274000000001E-3</v>
      </c>
      <c r="C239" s="328">
        <f t="shared" si="7"/>
        <v>129869.23073383182</v>
      </c>
      <c r="F239" s="379">
        <f t="shared" si="8"/>
        <v>4.9022930545997417E-3</v>
      </c>
      <c r="G239" s="328">
        <f t="shared" si="9"/>
        <v>748655.08852276998</v>
      </c>
    </row>
    <row r="240" spans="1:7" x14ac:dyDescent="0.4">
      <c r="A240" s="326" t="s">
        <v>198</v>
      </c>
      <c r="B240" s="650">
        <v>4.5854110000000001E-4</v>
      </c>
      <c r="C240" s="328">
        <f t="shared" si="7"/>
        <v>15243.814728355688</v>
      </c>
      <c r="F240" s="379">
        <f t="shared" si="8"/>
        <v>7.66131529340966E-4</v>
      </c>
      <c r="G240" s="328">
        <f t="shared" si="9"/>
        <v>116999.99602852717</v>
      </c>
    </row>
    <row r="241" spans="1:7" x14ac:dyDescent="0.4">
      <c r="A241" s="326" t="s">
        <v>199</v>
      </c>
      <c r="B241" s="650">
        <v>2.7585410999999998E-3</v>
      </c>
      <c r="C241" s="328">
        <f t="shared" si="7"/>
        <v>91705.387911693178</v>
      </c>
      <c r="F241" s="379">
        <f t="shared" si="8"/>
        <v>2.2691018651318264E-3</v>
      </c>
      <c r="G241" s="328">
        <f t="shared" si="9"/>
        <v>346526.54151581525</v>
      </c>
    </row>
    <row r="242" spans="1:7" x14ac:dyDescent="0.4">
      <c r="A242" s="326" t="s">
        <v>200</v>
      </c>
      <c r="B242" s="650">
        <v>6.9383904000000001E-3</v>
      </c>
      <c r="C242" s="328">
        <f t="shared" si="7"/>
        <v>230660.97623659408</v>
      </c>
      <c r="F242" s="379">
        <f t="shared" si="8"/>
        <v>1.2162184935656923E-2</v>
      </c>
      <c r="G242" s="328">
        <f t="shared" si="9"/>
        <v>1857351.5573678722</v>
      </c>
    </row>
    <row r="243" spans="1:7" x14ac:dyDescent="0.4">
      <c r="A243" s="326" t="s">
        <v>201</v>
      </c>
      <c r="B243" s="650">
        <v>2.145274E-4</v>
      </c>
      <c r="C243" s="328">
        <f t="shared" si="7"/>
        <v>7131.7836934483121</v>
      </c>
      <c r="F243" s="379">
        <f t="shared" si="8"/>
        <v>7.66131529340966E-4</v>
      </c>
      <c r="G243" s="328">
        <f t="shared" si="9"/>
        <v>116999.99602852717</v>
      </c>
    </row>
    <row r="244" spans="1:7" x14ac:dyDescent="0.4">
      <c r="A244" s="326" t="s">
        <v>202</v>
      </c>
      <c r="B244" s="650">
        <v>2.908082E-4</v>
      </c>
      <c r="C244" s="328">
        <f t="shared" si="7"/>
        <v>9667.6749854846294</v>
      </c>
      <c r="F244" s="379">
        <f t="shared" si="8"/>
        <v>7.66131529340966E-4</v>
      </c>
      <c r="G244" s="328">
        <f t="shared" si="9"/>
        <v>116999.99602852717</v>
      </c>
    </row>
    <row r="245" spans="1:7" x14ac:dyDescent="0.4">
      <c r="A245" s="326" t="s">
        <v>203</v>
      </c>
      <c r="B245" s="650">
        <v>1.06695616E-2</v>
      </c>
      <c r="C245" s="328">
        <f t="shared" si="7"/>
        <v>354700.63700544677</v>
      </c>
      <c r="F245" s="379">
        <f t="shared" si="8"/>
        <v>1.5652087570312032E-2</v>
      </c>
      <c r="G245" s="328">
        <f t="shared" si="9"/>
        <v>2390313.038206331</v>
      </c>
    </row>
    <row r="246" spans="1:7" x14ac:dyDescent="0.4">
      <c r="A246" s="326" t="s">
        <v>204</v>
      </c>
      <c r="B246" s="650">
        <v>2.9635341999999999E-3</v>
      </c>
      <c r="C246" s="328">
        <f t="shared" si="7"/>
        <v>98520.211788966772</v>
      </c>
      <c r="F246" s="379">
        <f t="shared" si="8"/>
        <v>4.0373470953632314E-3</v>
      </c>
      <c r="G246" s="328">
        <f t="shared" si="9"/>
        <v>616564.61851872981</v>
      </c>
    </row>
    <row r="247" spans="1:7" x14ac:dyDescent="0.4">
      <c r="A247" s="326" t="s">
        <v>205</v>
      </c>
      <c r="B247" s="650">
        <v>1.5380685E-3</v>
      </c>
      <c r="C247" s="328">
        <f t="shared" si="7"/>
        <v>51131.798771189628</v>
      </c>
      <c r="F247" s="379">
        <f t="shared" si="8"/>
        <v>1.3558372492856517E-3</v>
      </c>
      <c r="G247" s="328">
        <f t="shared" si="9"/>
        <v>207057.07402253515</v>
      </c>
    </row>
    <row r="248" spans="1:7" x14ac:dyDescent="0.4">
      <c r="A248" s="326" t="s">
        <v>206</v>
      </c>
      <c r="B248" s="650">
        <v>6.5353897300000005E-2</v>
      </c>
      <c r="C248" s="328">
        <f t="shared" si="7"/>
        <v>2172635.5657479451</v>
      </c>
      <c r="F248" s="379">
        <f t="shared" si="8"/>
        <v>8.4191339646616362E-2</v>
      </c>
      <c r="G248" s="328">
        <f t="shared" si="9"/>
        <v>12857304.558087952</v>
      </c>
    </row>
    <row r="249" spans="1:7" x14ac:dyDescent="0.4">
      <c r="A249" s="326" t="s">
        <v>207</v>
      </c>
      <c r="B249" s="650">
        <v>8.2872807999999996E-3</v>
      </c>
      <c r="C249" s="328">
        <f t="shared" si="7"/>
        <v>275503.70755655121</v>
      </c>
      <c r="F249" s="379">
        <f t="shared" si="8"/>
        <v>6.3808482616633348E-3</v>
      </c>
      <c r="G249" s="328">
        <f t="shared" si="9"/>
        <v>974453.07063062966</v>
      </c>
    </row>
    <row r="250" spans="1:7" x14ac:dyDescent="0.4">
      <c r="A250" s="326" t="s">
        <v>208</v>
      </c>
      <c r="B250" s="650">
        <v>4.3243840000000002E-4</v>
      </c>
      <c r="C250" s="328">
        <f t="shared" si="7"/>
        <v>14376.05233429799</v>
      </c>
      <c r="F250" s="379">
        <f t="shared" si="8"/>
        <v>7.66131529340966E-4</v>
      </c>
      <c r="G250" s="328">
        <f t="shared" si="9"/>
        <v>116999.99602852717</v>
      </c>
    </row>
    <row r="251" spans="1:7" x14ac:dyDescent="0.4">
      <c r="A251" s="326" t="s">
        <v>209</v>
      </c>
      <c r="B251" s="650">
        <v>5.84083699E-2</v>
      </c>
      <c r="C251" s="328">
        <f t="shared" si="7"/>
        <v>1941737.3259253467</v>
      </c>
      <c r="F251" s="379">
        <f t="shared" si="8"/>
        <v>5.4238615960137682E-2</v>
      </c>
      <c r="G251" s="328">
        <f t="shared" si="9"/>
        <v>8283065.7777362857</v>
      </c>
    </row>
    <row r="252" spans="1:7" x14ac:dyDescent="0.4">
      <c r="A252" s="326" t="s">
        <v>210</v>
      </c>
      <c r="B252" s="650">
        <v>3.6596082199999998E-2</v>
      </c>
      <c r="C252" s="328">
        <f t="shared" si="7"/>
        <v>1216606.0945037978</v>
      </c>
      <c r="F252" s="379">
        <f t="shared" si="8"/>
        <v>4.8186155034415312E-2</v>
      </c>
      <c r="G252" s="328">
        <f t="shared" si="9"/>
        <v>7358762.4732090849</v>
      </c>
    </row>
    <row r="253" spans="1:7" x14ac:dyDescent="0.4">
      <c r="A253" s="326" t="s">
        <v>211</v>
      </c>
      <c r="B253" s="650">
        <v>1.5139863E-3</v>
      </c>
      <c r="C253" s="328">
        <f t="shared" si="7"/>
        <v>50331.206206965377</v>
      </c>
      <c r="F253" s="379">
        <f t="shared" si="8"/>
        <v>7.7717667600853439E-4</v>
      </c>
      <c r="G253" s="328">
        <f t="shared" si="9"/>
        <v>118686.75876671082</v>
      </c>
    </row>
    <row r="254" spans="1:7" x14ac:dyDescent="0.4">
      <c r="A254" s="326" t="s">
        <v>212</v>
      </c>
      <c r="B254" s="650">
        <v>7.1929856200000003E-2</v>
      </c>
      <c r="C254" s="328">
        <f t="shared" si="7"/>
        <v>2391247.8103927146</v>
      </c>
      <c r="F254" s="379">
        <f t="shared" si="8"/>
        <v>8.0652946609288331E-2</v>
      </c>
      <c r="G254" s="328">
        <f t="shared" si="9"/>
        <v>12316937.851510992</v>
      </c>
    </row>
    <row r="255" spans="1:7" x14ac:dyDescent="0.4">
      <c r="A255" s="326" t="s">
        <v>213</v>
      </c>
      <c r="B255" s="650">
        <v>7.0768383599999998E-2</v>
      </c>
      <c r="C255" s="328">
        <f t="shared" si="7"/>
        <v>2352635.6268251748</v>
      </c>
      <c r="F255" s="379">
        <f t="shared" si="8"/>
        <v>7.0952239920725912E-2</v>
      </c>
      <c r="G255" s="328">
        <f t="shared" si="9"/>
        <v>10835491.649953365</v>
      </c>
    </row>
    <row r="256" spans="1:7" x14ac:dyDescent="0.4">
      <c r="A256" s="326" t="s">
        <v>214</v>
      </c>
      <c r="B256" s="650">
        <v>1.5034993199999999E-2</v>
      </c>
      <c r="C256" s="328">
        <f t="shared" si="7"/>
        <v>499825.75342294853</v>
      </c>
      <c r="F256" s="379">
        <f t="shared" si="8"/>
        <v>1.2289913655348515E-2</v>
      </c>
      <c r="G256" s="328">
        <f t="shared" si="9"/>
        <v>1876857.6853946098</v>
      </c>
    </row>
    <row r="257" spans="1:7" x14ac:dyDescent="0.4">
      <c r="A257" s="326" t="s">
        <v>215</v>
      </c>
      <c r="B257" s="650">
        <v>1.8942308200000001E-2</v>
      </c>
      <c r="C257" s="328">
        <f t="shared" si="7"/>
        <v>629721.16725897137</v>
      </c>
      <c r="F257" s="379">
        <f t="shared" si="8"/>
        <v>2.6985071516915437E-2</v>
      </c>
      <c r="G257" s="328">
        <f t="shared" si="9"/>
        <v>4121032.9289339241</v>
      </c>
    </row>
    <row r="258" spans="1:7" x14ac:dyDescent="0.4">
      <c r="A258" s="326" t="s">
        <v>216</v>
      </c>
      <c r="B258" s="650">
        <v>6.2024109999999997E-3</v>
      </c>
      <c r="C258" s="328">
        <f t="shared" si="7"/>
        <v>206193.95764766849</v>
      </c>
      <c r="F258" s="379">
        <f t="shared" si="8"/>
        <v>4.7108649966105653E-3</v>
      </c>
      <c r="G258" s="328">
        <f t="shared" si="9"/>
        <v>719421.09779568366</v>
      </c>
    </row>
    <row r="259" spans="1:7" x14ac:dyDescent="0.4">
      <c r="A259" s="336" t="s">
        <v>176</v>
      </c>
      <c r="B259" s="651">
        <v>1.24450137E-2</v>
      </c>
      <c r="C259" s="328">
        <f t="shared" si="7"/>
        <v>413724.054691386</v>
      </c>
      <c r="D259" s="338"/>
      <c r="E259" s="338"/>
      <c r="F259" s="379">
        <f t="shared" si="8"/>
        <v>1.8040459862678979E-2</v>
      </c>
      <c r="G259" s="328">
        <f t="shared" si="9"/>
        <v>2755053.9971927777</v>
      </c>
    </row>
    <row r="260" spans="1:7" x14ac:dyDescent="0.4">
      <c r="A260" s="336" t="s">
        <v>217</v>
      </c>
      <c r="B260" s="651">
        <v>1.0753965799999999E-2</v>
      </c>
      <c r="C260" s="328">
        <f t="shared" si="7"/>
        <v>357506.58392513415</v>
      </c>
      <c r="D260" s="338"/>
      <c r="E260" s="338"/>
      <c r="F260" s="379">
        <f t="shared" si="8"/>
        <v>1.5559125119925531E-2</v>
      </c>
      <c r="G260" s="328">
        <f t="shared" si="9"/>
        <v>2376116.2509583514</v>
      </c>
    </row>
    <row r="261" spans="1:7" x14ac:dyDescent="0.4">
      <c r="A261" s="336" t="s">
        <v>218</v>
      </c>
      <c r="B261" s="651">
        <v>3.6062595900000001E-2</v>
      </c>
      <c r="C261" s="328">
        <f t="shared" si="7"/>
        <v>1198870.7893865118</v>
      </c>
      <c r="D261" s="338"/>
      <c r="E261" s="338"/>
      <c r="F261" s="379">
        <f t="shared" si="8"/>
        <v>3.2448218186801381E-2</v>
      </c>
      <c r="G261" s="328">
        <f t="shared" si="9"/>
        <v>4955338.9380205786</v>
      </c>
    </row>
    <row r="262" spans="1:7" x14ac:dyDescent="0.4">
      <c r="A262" s="336" t="s">
        <v>219</v>
      </c>
      <c r="B262" s="651">
        <v>4.8811781000000004E-3</v>
      </c>
      <c r="C262" s="328">
        <f t="shared" si="7"/>
        <v>162270.67674524101</v>
      </c>
      <c r="D262" s="338"/>
      <c r="E262" s="338"/>
      <c r="F262" s="379">
        <f t="shared" si="8"/>
        <v>5.5897303565663296E-3</v>
      </c>
      <c r="G262" s="328">
        <f t="shared" si="9"/>
        <v>853637.27306899161</v>
      </c>
    </row>
    <row r="263" spans="1:7" x14ac:dyDescent="0.4">
      <c r="A263" s="326" t="s">
        <v>220</v>
      </c>
      <c r="B263" s="650">
        <v>8.3036506999999999E-3</v>
      </c>
      <c r="C263" s="328">
        <f t="shared" si="7"/>
        <v>276047.9111682268</v>
      </c>
      <c r="F263" s="379">
        <f t="shared" si="8"/>
        <v>4.0542392296922932E-3</v>
      </c>
      <c r="G263" s="328">
        <f t="shared" si="9"/>
        <v>619144.30565301818</v>
      </c>
    </row>
    <row r="264" spans="1:7" x14ac:dyDescent="0.4">
      <c r="A264" s="326" t="s">
        <v>221</v>
      </c>
      <c r="B264" s="650">
        <v>2.124452E-4</v>
      </c>
      <c r="C264" s="328">
        <f t="shared" si="7"/>
        <v>7062.5626988038148</v>
      </c>
      <c r="F264" s="379">
        <f t="shared" si="8"/>
        <v>7.66131529340966E-4</v>
      </c>
      <c r="G264" s="328">
        <f t="shared" si="9"/>
        <v>116999.99602852717</v>
      </c>
    </row>
    <row r="265" spans="1:7" x14ac:dyDescent="0.4">
      <c r="A265" s="326" t="s">
        <v>222</v>
      </c>
      <c r="B265" s="650">
        <v>1.2311437999999999E-3</v>
      </c>
      <c r="C265" s="328">
        <f t="shared" si="7"/>
        <v>40928.344244744447</v>
      </c>
      <c r="F265" s="379">
        <f t="shared" si="8"/>
        <v>7.66131529340966E-4</v>
      </c>
      <c r="G265" s="328">
        <f t="shared" si="9"/>
        <v>116999.99602852717</v>
      </c>
    </row>
    <row r="266" spans="1:7" x14ac:dyDescent="0.4">
      <c r="A266" s="326" t="s">
        <v>223</v>
      </c>
      <c r="B266" s="650">
        <v>1.0652910999999999E-2</v>
      </c>
      <c r="C266" s="328">
        <f t="shared" si="7"/>
        <v>354147.10175742657</v>
      </c>
      <c r="F266" s="379">
        <f t="shared" si="8"/>
        <v>1.2812969638030376E-2</v>
      </c>
      <c r="G266" s="328">
        <f t="shared" si="9"/>
        <v>1956736.329664893</v>
      </c>
    </row>
    <row r="267" spans="1:7" x14ac:dyDescent="0.4">
      <c r="A267" s="326" t="s">
        <v>224</v>
      </c>
      <c r="B267" s="650">
        <v>9.3495342000000006E-3</v>
      </c>
      <c r="C267" s="328">
        <f t="shared" si="7"/>
        <v>310817.43194061605</v>
      </c>
      <c r="F267" s="379">
        <f t="shared" si="8"/>
        <v>8.7081048520679192E-3</v>
      </c>
      <c r="G267" s="328">
        <f t="shared" si="9"/>
        <v>1329860.727679969</v>
      </c>
    </row>
    <row r="268" spans="1:7" x14ac:dyDescent="0.4">
      <c r="A268" s="326" t="s">
        <v>225</v>
      </c>
      <c r="B268" s="650">
        <v>1.66474658E-2</v>
      </c>
      <c r="C268" s="328">
        <f t="shared" si="7"/>
        <v>553431.0541668731</v>
      </c>
      <c r="F268" s="379">
        <f t="shared" si="8"/>
        <v>1.3257118783151592E-2</v>
      </c>
      <c r="G268" s="328">
        <f t="shared" si="9"/>
        <v>2024564.6936273542</v>
      </c>
    </row>
    <row r="269" spans="1:7" x14ac:dyDescent="0.4">
      <c r="A269" s="326" t="s">
        <v>226</v>
      </c>
      <c r="B269" s="650">
        <v>3.2537465999999998E-3</v>
      </c>
      <c r="C269" s="328">
        <f t="shared" si="7"/>
        <v>108168.07990258068</v>
      </c>
      <c r="F269" s="379">
        <f t="shared" si="8"/>
        <v>3.5974460893180337E-3</v>
      </c>
      <c r="G269" s="328">
        <f t="shared" si="9"/>
        <v>549385.0103325129</v>
      </c>
    </row>
    <row r="270" spans="1:7" x14ac:dyDescent="0.4">
      <c r="A270" s="326" t="s">
        <v>227</v>
      </c>
      <c r="B270" s="650">
        <v>3.3712465999999998E-3</v>
      </c>
      <c r="C270" s="328">
        <f t="shared" si="7"/>
        <v>112074.26896738162</v>
      </c>
      <c r="F270" s="379">
        <f t="shared" si="8"/>
        <v>1.200621004797998E-3</v>
      </c>
      <c r="G270" s="328">
        <f t="shared" si="9"/>
        <v>183353.18077036724</v>
      </c>
    </row>
    <row r="271" spans="1:7" x14ac:dyDescent="0.4">
      <c r="A271" s="326" t="s">
        <v>228</v>
      </c>
      <c r="B271" s="650">
        <v>4.008425E-4</v>
      </c>
      <c r="C271" s="328">
        <f t="shared" si="7"/>
        <v>13325.67310814868</v>
      </c>
      <c r="F271" s="379">
        <f t="shared" si="8"/>
        <v>8.9285481316020996E-4</v>
      </c>
      <c r="G271" s="328">
        <f t="shared" si="9"/>
        <v>136352.57862792426</v>
      </c>
    </row>
    <row r="272" spans="1:7" x14ac:dyDescent="0.4">
      <c r="A272" s="326" t="s">
        <v>229</v>
      </c>
      <c r="B272" s="650">
        <v>1.5699616400000001E-2</v>
      </c>
      <c r="C272" s="328">
        <f t="shared" si="7"/>
        <v>521920.59492127207</v>
      </c>
      <c r="F272" s="379">
        <f t="shared" si="8"/>
        <v>3.5299499307262949E-2</v>
      </c>
      <c r="G272" s="328">
        <f t="shared" si="9"/>
        <v>5390773.151330119</v>
      </c>
    </row>
    <row r="273" spans="1:7" x14ac:dyDescent="0.4">
      <c r="A273" s="326" t="s">
        <v>230</v>
      </c>
      <c r="B273" s="650">
        <v>1.6551233E-3</v>
      </c>
      <c r="C273" s="328">
        <f t="shared" si="7"/>
        <v>55023.18753495525</v>
      </c>
      <c r="F273" s="379">
        <f t="shared" si="8"/>
        <v>2.0932381650064337E-3</v>
      </c>
      <c r="G273" s="328">
        <f t="shared" si="9"/>
        <v>319669.46615966491</v>
      </c>
    </row>
    <row r="274" spans="1:7" x14ac:dyDescent="0.4">
      <c r="A274" s="326" t="s">
        <v>231</v>
      </c>
      <c r="B274" s="650">
        <v>1.63133767E-2</v>
      </c>
      <c r="C274" s="328">
        <f t="shared" si="7"/>
        <v>542324.54191930557</v>
      </c>
      <c r="F274" s="379">
        <f t="shared" si="8"/>
        <v>2.3866147686508264E-2</v>
      </c>
      <c r="G274" s="328">
        <f t="shared" si="9"/>
        <v>3644725.5824854355</v>
      </c>
    </row>
    <row r="275" spans="1:7" x14ac:dyDescent="0.4">
      <c r="A275" s="326" t="s">
        <v>232</v>
      </c>
      <c r="B275" s="650">
        <v>8.2354109999999998E-3</v>
      </c>
      <c r="C275" s="328">
        <f t="shared" si="7"/>
        <v>273779.33950928814</v>
      </c>
      <c r="F275" s="379">
        <f t="shared" si="8"/>
        <v>4.1583075725761566E-3</v>
      </c>
      <c r="G275" s="328">
        <f t="shared" si="9"/>
        <v>635037.13245598425</v>
      </c>
    </row>
    <row r="276" spans="1:7" x14ac:dyDescent="0.4">
      <c r="A276" s="326" t="s">
        <v>233</v>
      </c>
      <c r="B276" s="650">
        <v>2.7931917999999998E-3</v>
      </c>
      <c r="C276" s="328">
        <f t="shared" si="7"/>
        <v>92857.321404694871</v>
      </c>
      <c r="F276" s="379">
        <f t="shared" si="8"/>
        <v>2.8594999002267657E-3</v>
      </c>
      <c r="G276" s="328">
        <f t="shared" si="9"/>
        <v>436689.34661636828</v>
      </c>
    </row>
    <row r="277" spans="1:7" x14ac:dyDescent="0.4">
      <c r="A277" s="326" t="s">
        <v>135</v>
      </c>
      <c r="B277" s="652">
        <v>0</v>
      </c>
      <c r="C277" s="332">
        <f t="shared" si="7"/>
        <v>0</v>
      </c>
      <c r="F277" s="379">
        <f t="shared" si="8"/>
        <v>0</v>
      </c>
      <c r="G277" s="328">
        <f t="shared" si="9"/>
        <v>0</v>
      </c>
    </row>
    <row r="278" spans="1:7" ht="14.65" thickBot="1" x14ac:dyDescent="0.45">
      <c r="A278" s="326" t="s">
        <v>136</v>
      </c>
      <c r="B278" s="329">
        <f>SUM(B219:B277)</f>
        <v>0.99999999999999978</v>
      </c>
      <c r="C278" s="330">
        <f>SUM(C219:C277)</f>
        <v>33244162.253625005</v>
      </c>
      <c r="F278" s="334">
        <f>SUM(F219:F277)</f>
        <v>1.0000000000000002</v>
      </c>
      <c r="G278" s="335">
        <f>SUM(G219:G277)</f>
        <v>152715286.53724992</v>
      </c>
    </row>
    <row r="283" spans="1:7" x14ac:dyDescent="0.45">
      <c r="A283" s="734" t="s">
        <v>156</v>
      </c>
      <c r="B283" s="734"/>
      <c r="C283" s="734"/>
      <c r="D283" s="734"/>
      <c r="E283" s="734"/>
      <c r="F283" s="734"/>
      <c r="G283" s="734"/>
    </row>
    <row r="284" spans="1:7" ht="15" customHeight="1" x14ac:dyDescent="0.45">
      <c r="A284" s="733" t="s">
        <v>237</v>
      </c>
      <c r="B284" s="733"/>
      <c r="C284" s="733"/>
      <c r="D284" s="733"/>
      <c r="E284" s="733"/>
      <c r="F284" s="733"/>
      <c r="G284" s="733"/>
    </row>
    <row r="285" spans="1:7" x14ac:dyDescent="0.45">
      <c r="A285" s="16"/>
      <c r="B285" s="16"/>
      <c r="C285" s="16"/>
      <c r="D285" s="16"/>
      <c r="E285" s="16"/>
      <c r="F285" s="16"/>
      <c r="G285" s="16"/>
    </row>
    <row r="286" spans="1:7" x14ac:dyDescent="0.45">
      <c r="B286" s="339" t="s">
        <v>157</v>
      </c>
      <c r="C286" s="343">
        <f>B31</f>
        <v>144286929.87325916</v>
      </c>
      <c r="D286" s="16"/>
      <c r="E286" s="16"/>
      <c r="F286" s="295" t="s">
        <v>158</v>
      </c>
      <c r="G286" s="340">
        <f>B32</f>
        <v>8428356.6639908273</v>
      </c>
    </row>
    <row r="287" spans="1:7" ht="14.65" thickBot="1" x14ac:dyDescent="0.5">
      <c r="A287" s="16"/>
      <c r="B287" s="381"/>
      <c r="C287" s="16"/>
      <c r="D287" s="16"/>
      <c r="E287" s="16"/>
      <c r="F287" s="381"/>
    </row>
    <row r="288" spans="1:7" ht="14.65" thickBot="1" x14ac:dyDescent="0.5">
      <c r="A288" s="16"/>
      <c r="B288" s="735" t="s">
        <v>159</v>
      </c>
      <c r="C288" s="736"/>
      <c r="D288" s="16"/>
      <c r="E288" s="16"/>
      <c r="F288" s="731" t="s">
        <v>160</v>
      </c>
      <c r="G288" s="732"/>
    </row>
    <row r="289" spans="1:7" ht="6" customHeight="1" thickBot="1" x14ac:dyDescent="0.5">
      <c r="A289" s="16"/>
      <c r="B289" s="333"/>
      <c r="C289" s="162"/>
      <c r="D289" s="16"/>
      <c r="E289" s="16"/>
      <c r="F289" s="333"/>
      <c r="G289" s="162"/>
    </row>
    <row r="290" spans="1:7" x14ac:dyDescent="0.45">
      <c r="A290" s="345"/>
      <c r="B290" s="547" t="s">
        <v>346</v>
      </c>
      <c r="C290" s="328"/>
      <c r="F290" s="547" t="s">
        <v>346</v>
      </c>
      <c r="G290" s="328"/>
    </row>
    <row r="291" spans="1:7" x14ac:dyDescent="0.4">
      <c r="A291" s="336" t="s">
        <v>177</v>
      </c>
      <c r="B291" s="327">
        <v>3.2226372212470406E-2</v>
      </c>
      <c r="C291" s="328">
        <f>C$286*B291</f>
        <v>4649844.307490265</v>
      </c>
      <c r="F291" s="327">
        <v>4.5922537241241623E-2</v>
      </c>
      <c r="G291" s="328">
        <f>G$286*F291</f>
        <v>387051.52278458577</v>
      </c>
    </row>
    <row r="292" spans="1:7" x14ac:dyDescent="0.4">
      <c r="A292" s="326" t="s">
        <v>178</v>
      </c>
      <c r="B292" s="327">
        <v>8.108842299943544E-4</v>
      </c>
      <c r="C292" s="328">
        <f t="shared" ref="C292:C349" si="10">C$286*B292</f>
        <v>116999.99602852717</v>
      </c>
      <c r="F292" s="327">
        <v>0</v>
      </c>
      <c r="G292" s="328">
        <f t="shared" ref="G292:G349" si="11">G$286*F292</f>
        <v>0</v>
      </c>
    </row>
    <row r="293" spans="1:7" x14ac:dyDescent="0.4">
      <c r="A293" s="326" t="s">
        <v>179</v>
      </c>
      <c r="B293" s="327">
        <v>8.108842299943544E-4</v>
      </c>
      <c r="C293" s="328">
        <f t="shared" si="10"/>
        <v>116999.99602852717</v>
      </c>
      <c r="F293" s="327">
        <v>2.2961276285421994E-3</v>
      </c>
      <c r="G293" s="328">
        <f t="shared" si="11"/>
        <v>19352.582599397101</v>
      </c>
    </row>
    <row r="294" spans="1:7" x14ac:dyDescent="0.4">
      <c r="A294" s="326" t="s">
        <v>180</v>
      </c>
      <c r="B294" s="327">
        <v>4.5875452059369404E-3</v>
      </c>
      <c r="C294" s="328">
        <f t="shared" si="10"/>
        <v>661922.81341942959</v>
      </c>
      <c r="F294" s="327">
        <v>1.8369016429456885E-2</v>
      </c>
      <c r="G294" s="328">
        <f t="shared" si="11"/>
        <v>154820.62203416994</v>
      </c>
    </row>
    <row r="295" spans="1:7" x14ac:dyDescent="0.4">
      <c r="A295" s="326" t="s">
        <v>181</v>
      </c>
      <c r="B295" s="327">
        <v>8.5922767627154306E-4</v>
      </c>
      <c r="C295" s="328">
        <f t="shared" si="10"/>
        <v>123975.32347135556</v>
      </c>
      <c r="F295" s="327">
        <v>0</v>
      </c>
      <c r="G295" s="328">
        <f t="shared" si="11"/>
        <v>0</v>
      </c>
    </row>
    <row r="296" spans="1:7" x14ac:dyDescent="0.4">
      <c r="A296" s="326" t="s">
        <v>182</v>
      </c>
      <c r="B296" s="327">
        <v>8.108842299943544E-4</v>
      </c>
      <c r="C296" s="328">
        <f t="shared" si="10"/>
        <v>116999.99602852717</v>
      </c>
      <c r="F296" s="327">
        <v>0</v>
      </c>
      <c r="G296" s="328">
        <f t="shared" si="11"/>
        <v>0</v>
      </c>
    </row>
    <row r="297" spans="1:7" x14ac:dyDescent="0.4">
      <c r="A297" s="326" t="s">
        <v>183</v>
      </c>
      <c r="B297" s="327">
        <v>2.5806677534313482E-2</v>
      </c>
      <c r="C297" s="328">
        <f t="shared" si="10"/>
        <v>3723566.271655302</v>
      </c>
      <c r="F297" s="327">
        <v>6.368345133905387E-2</v>
      </c>
      <c r="G297" s="328">
        <f t="shared" si="11"/>
        <v>536746.84147945023</v>
      </c>
    </row>
    <row r="298" spans="1:7" x14ac:dyDescent="0.4">
      <c r="A298" s="326" t="s">
        <v>184</v>
      </c>
      <c r="B298" s="327">
        <v>8.108842299943544E-4</v>
      </c>
      <c r="C298" s="328">
        <f t="shared" si="10"/>
        <v>116999.99602852717</v>
      </c>
      <c r="F298" s="327">
        <v>0</v>
      </c>
      <c r="G298" s="328">
        <f t="shared" si="11"/>
        <v>0</v>
      </c>
    </row>
    <row r="299" spans="1:7" x14ac:dyDescent="0.4">
      <c r="A299" s="326" t="s">
        <v>185</v>
      </c>
      <c r="B299" s="327">
        <v>3.2754455179711539E-3</v>
      </c>
      <c r="C299" s="328">
        <f t="shared" si="10"/>
        <v>472603.97775518493</v>
      </c>
      <c r="F299" s="327">
        <v>0</v>
      </c>
      <c r="G299" s="328">
        <f t="shared" si="11"/>
        <v>0</v>
      </c>
    </row>
    <row r="300" spans="1:7" x14ac:dyDescent="0.4">
      <c r="A300" s="326" t="s">
        <v>186</v>
      </c>
      <c r="B300" s="327">
        <v>3.572780466246548E-2</v>
      </c>
      <c r="C300" s="328">
        <f t="shared" si="10"/>
        <v>5155055.2458586581</v>
      </c>
      <c r="F300" s="327">
        <v>5.7403176916912851E-2</v>
      </c>
      <c r="G300" s="328">
        <f t="shared" si="11"/>
        <v>483814.44870190689</v>
      </c>
    </row>
    <row r="301" spans="1:7" x14ac:dyDescent="0.4">
      <c r="A301" s="326" t="s">
        <v>187</v>
      </c>
      <c r="B301" s="327">
        <v>8.108842299943544E-4</v>
      </c>
      <c r="C301" s="328">
        <f t="shared" si="10"/>
        <v>116999.99602852717</v>
      </c>
      <c r="F301" s="327">
        <v>0</v>
      </c>
      <c r="G301" s="328">
        <f t="shared" si="11"/>
        <v>0</v>
      </c>
    </row>
    <row r="302" spans="1:7" x14ac:dyDescent="0.4">
      <c r="A302" s="326" t="s">
        <v>188</v>
      </c>
      <c r="B302" s="327">
        <v>4.7286624685969943E-3</v>
      </c>
      <c r="C302" s="328">
        <f t="shared" si="10"/>
        <v>682284.190000767</v>
      </c>
      <c r="F302" s="327">
        <v>4.5922552570843989E-3</v>
      </c>
      <c r="G302" s="328">
        <f t="shared" si="11"/>
        <v>38705.165198794202</v>
      </c>
    </row>
    <row r="303" spans="1:7" x14ac:dyDescent="0.4">
      <c r="A303" s="326" t="s">
        <v>189</v>
      </c>
      <c r="B303" s="327">
        <v>3.9069216662546641E-3</v>
      </c>
      <c r="C303" s="328">
        <f t="shared" si="10"/>
        <v>563717.73247920349</v>
      </c>
      <c r="F303" s="327">
        <v>0</v>
      </c>
      <c r="G303" s="328">
        <f t="shared" si="11"/>
        <v>0</v>
      </c>
    </row>
    <row r="304" spans="1:7" x14ac:dyDescent="0.4">
      <c r="A304" s="326" t="s">
        <v>190</v>
      </c>
      <c r="B304" s="327">
        <v>8.108842299943544E-4</v>
      </c>
      <c r="C304" s="328">
        <f t="shared" si="10"/>
        <v>116999.99602852717</v>
      </c>
      <c r="F304" s="327">
        <v>2.2961276285421994E-3</v>
      </c>
      <c r="G304" s="328">
        <f t="shared" si="11"/>
        <v>19352.582599397101</v>
      </c>
    </row>
    <row r="305" spans="1:7" x14ac:dyDescent="0.4">
      <c r="A305" s="326" t="s">
        <v>191</v>
      </c>
      <c r="B305" s="327">
        <v>2.6817339977912958E-2</v>
      </c>
      <c r="C305" s="328">
        <f t="shared" si="10"/>
        <v>3869391.652780476</v>
      </c>
      <c r="F305" s="327">
        <v>4.8218667935704292E-2</v>
      </c>
      <c r="G305" s="328">
        <f t="shared" si="11"/>
        <v>406404.13122465409</v>
      </c>
    </row>
    <row r="306" spans="1:7" x14ac:dyDescent="0.4">
      <c r="A306" s="326" t="s">
        <v>192</v>
      </c>
      <c r="B306" s="327">
        <v>7.4453131157646377E-3</v>
      </c>
      <c r="C306" s="328">
        <f t="shared" si="10"/>
        <v>1074261.371418789</v>
      </c>
      <c r="F306" s="327">
        <v>0</v>
      </c>
      <c r="G306" s="328">
        <f t="shared" si="11"/>
        <v>0</v>
      </c>
    </row>
    <row r="307" spans="1:7" x14ac:dyDescent="0.4">
      <c r="A307" s="326" t="s">
        <v>193</v>
      </c>
      <c r="B307" s="327">
        <v>1.360663059529074E-3</v>
      </c>
      <c r="C307" s="328">
        <f t="shared" si="10"/>
        <v>196325.89545140576</v>
      </c>
      <c r="F307" s="327">
        <v>0</v>
      </c>
      <c r="G307" s="328">
        <f t="shared" si="11"/>
        <v>0</v>
      </c>
    </row>
    <row r="308" spans="1:7" x14ac:dyDescent="0.4">
      <c r="A308" s="326" t="s">
        <v>194</v>
      </c>
      <c r="B308" s="327">
        <v>8.108842299943544E-4</v>
      </c>
      <c r="C308" s="328">
        <f t="shared" si="10"/>
        <v>116999.99602852717</v>
      </c>
      <c r="F308" s="327">
        <v>0</v>
      </c>
      <c r="G308" s="328">
        <f t="shared" si="11"/>
        <v>0</v>
      </c>
    </row>
    <row r="309" spans="1:7" x14ac:dyDescent="0.4">
      <c r="A309" s="326" t="s">
        <v>195</v>
      </c>
      <c r="B309" s="327">
        <v>0.21291879502850858</v>
      </c>
      <c r="C309" s="328">
        <f t="shared" si="10"/>
        <v>30721399.246977258</v>
      </c>
      <c r="F309" s="327">
        <v>0.32375388678427325</v>
      </c>
      <c r="G309" s="328">
        <f t="shared" si="11"/>
        <v>2728713.2291711611</v>
      </c>
    </row>
    <row r="310" spans="1:7" x14ac:dyDescent="0.4">
      <c r="A310" s="326" t="s">
        <v>196</v>
      </c>
      <c r="B310" s="327">
        <v>4.9256375302656179E-3</v>
      </c>
      <c r="C310" s="328">
        <f t="shared" si="10"/>
        <v>710705.11691052862</v>
      </c>
      <c r="F310" s="327">
        <v>2.2961276285421994E-3</v>
      </c>
      <c r="G310" s="328">
        <f t="shared" si="11"/>
        <v>19352.582599397101</v>
      </c>
    </row>
    <row r="311" spans="1:7" x14ac:dyDescent="0.4">
      <c r="A311" s="326" t="s">
        <v>197</v>
      </c>
      <c r="B311" s="327">
        <v>5.1886549196131938E-3</v>
      </c>
      <c r="C311" s="328">
        <f t="shared" si="10"/>
        <v>748655.08852276998</v>
      </c>
      <c r="F311" s="327">
        <v>0</v>
      </c>
      <c r="G311" s="328">
        <f t="shared" si="11"/>
        <v>0</v>
      </c>
    </row>
    <row r="312" spans="1:7" x14ac:dyDescent="0.4">
      <c r="A312" s="326" t="s">
        <v>198</v>
      </c>
      <c r="B312" s="327">
        <v>8.108842299943544E-4</v>
      </c>
      <c r="C312" s="328">
        <f t="shared" si="10"/>
        <v>116999.99602852717</v>
      </c>
      <c r="F312" s="327">
        <v>0</v>
      </c>
      <c r="G312" s="328">
        <f t="shared" si="11"/>
        <v>0</v>
      </c>
    </row>
    <row r="313" spans="1:7" x14ac:dyDescent="0.4">
      <c r="A313" s="326" t="s">
        <v>199</v>
      </c>
      <c r="B313" s="327">
        <v>2.4016488660490751E-3</v>
      </c>
      <c r="C313" s="328">
        <f t="shared" si="10"/>
        <v>346526.54151581525</v>
      </c>
      <c r="F313" s="327">
        <v>0</v>
      </c>
      <c r="G313" s="328">
        <f t="shared" si="11"/>
        <v>0</v>
      </c>
    </row>
    <row r="314" spans="1:7" x14ac:dyDescent="0.4">
      <c r="A314" s="326" t="s">
        <v>200</v>
      </c>
      <c r="B314" s="327">
        <v>1.0856820928022242E-2</v>
      </c>
      <c r="C314" s="328">
        <f t="shared" si="10"/>
        <v>1566497.3598880777</v>
      </c>
      <c r="F314" s="327">
        <v>3.4509004432908635E-2</v>
      </c>
      <c r="G314" s="328">
        <f t="shared" si="11"/>
        <v>290854.1974797945</v>
      </c>
    </row>
    <row r="315" spans="1:7" x14ac:dyDescent="0.4">
      <c r="A315" s="326" t="s">
        <v>201</v>
      </c>
      <c r="B315" s="327">
        <v>8.108842299943544E-4</v>
      </c>
      <c r="C315" s="328">
        <f t="shared" si="10"/>
        <v>116999.99602852717</v>
      </c>
      <c r="F315" s="327">
        <v>0</v>
      </c>
      <c r="G315" s="328">
        <f t="shared" si="11"/>
        <v>0</v>
      </c>
    </row>
    <row r="316" spans="1:7" x14ac:dyDescent="0.4">
      <c r="A316" s="326" t="s">
        <v>202</v>
      </c>
      <c r="B316" s="327">
        <v>8.108842299943544E-4</v>
      </c>
      <c r="C316" s="328">
        <f t="shared" si="10"/>
        <v>116999.99602852717</v>
      </c>
      <c r="F316" s="327">
        <v>0</v>
      </c>
      <c r="G316" s="328">
        <f t="shared" si="11"/>
        <v>0</v>
      </c>
    </row>
    <row r="317" spans="1:7" x14ac:dyDescent="0.4">
      <c r="A317" s="326" t="s">
        <v>203</v>
      </c>
      <c r="B317" s="327">
        <v>1.5359255585515673E-2</v>
      </c>
      <c r="C317" s="328">
        <f t="shared" si="10"/>
        <v>2216139.8335727639</v>
      </c>
      <c r="F317" s="327">
        <v>2.0665144057999085E-2</v>
      </c>
      <c r="G317" s="328">
        <f t="shared" si="11"/>
        <v>174173.20463356705</v>
      </c>
    </row>
    <row r="318" spans="1:7" x14ac:dyDescent="0.4">
      <c r="A318" s="326" t="s">
        <v>204</v>
      </c>
      <c r="B318" s="327">
        <v>4.273184127351776E-3</v>
      </c>
      <c r="C318" s="328">
        <f t="shared" si="10"/>
        <v>616564.61851872981</v>
      </c>
      <c r="F318" s="327">
        <v>0</v>
      </c>
      <c r="G318" s="328">
        <f t="shared" si="11"/>
        <v>0</v>
      </c>
    </row>
    <row r="319" spans="1:7" x14ac:dyDescent="0.4">
      <c r="A319" s="326" t="s">
        <v>205</v>
      </c>
      <c r="B319" s="327">
        <v>1.4350369378876725E-3</v>
      </c>
      <c r="C319" s="328">
        <f t="shared" si="10"/>
        <v>207057.07402253515</v>
      </c>
      <c r="F319" s="327">
        <v>0</v>
      </c>
      <c r="G319" s="328">
        <f t="shared" si="11"/>
        <v>0</v>
      </c>
    </row>
    <row r="320" spans="1:7" x14ac:dyDescent="0.4">
      <c r="A320" s="326" t="s">
        <v>206</v>
      </c>
      <c r="B320" s="327">
        <v>8.8572778315796338E-2</v>
      </c>
      <c r="C320" s="328">
        <f t="shared" si="10"/>
        <v>12779894.253531035</v>
      </c>
      <c r="F320" s="327">
        <v>9.1845074482483236E-3</v>
      </c>
      <c r="G320" s="328">
        <f t="shared" si="11"/>
        <v>77410.304556917152</v>
      </c>
    </row>
    <row r="321" spans="1:7" x14ac:dyDescent="0.4">
      <c r="A321" s="326" t="s">
        <v>207</v>
      </c>
      <c r="B321" s="327">
        <v>6.7535782450051703E-3</v>
      </c>
      <c r="C321" s="328">
        <f t="shared" si="10"/>
        <v>974453.07063062966</v>
      </c>
      <c r="F321" s="327">
        <v>0</v>
      </c>
      <c r="G321" s="328">
        <f t="shared" si="11"/>
        <v>0</v>
      </c>
    </row>
    <row r="322" spans="1:7" x14ac:dyDescent="0.4">
      <c r="A322" s="326" t="s">
        <v>208</v>
      </c>
      <c r="B322" s="327">
        <v>8.108842299943544E-4</v>
      </c>
      <c r="C322" s="328">
        <f t="shared" si="10"/>
        <v>116999.99602852717</v>
      </c>
      <c r="F322" s="327">
        <v>0</v>
      </c>
      <c r="G322" s="328">
        <f t="shared" si="11"/>
        <v>0</v>
      </c>
    </row>
    <row r="323" spans="1:7" x14ac:dyDescent="0.4">
      <c r="A323" s="326" t="s">
        <v>209</v>
      </c>
      <c r="B323" s="327">
        <v>5.3497538451625762E-2</v>
      </c>
      <c r="C323" s="328">
        <f t="shared" si="10"/>
        <v>7718995.5789617114</v>
      </c>
      <c r="F323" s="327">
        <v>6.6925288198172506E-2</v>
      </c>
      <c r="G323" s="328">
        <f t="shared" si="11"/>
        <v>564070.19877457386</v>
      </c>
    </row>
    <row r="324" spans="1:7" x14ac:dyDescent="0.4">
      <c r="A324" s="326" t="s">
        <v>210</v>
      </c>
      <c r="B324" s="327">
        <v>4.8184255830319107E-2</v>
      </c>
      <c r="C324" s="328">
        <f t="shared" si="10"/>
        <v>6952358.3419844313</v>
      </c>
      <c r="F324" s="327">
        <v>4.8218667935704292E-2</v>
      </c>
      <c r="G324" s="328">
        <f t="shared" si="11"/>
        <v>406404.13122465409</v>
      </c>
    </row>
    <row r="325" spans="1:7" x14ac:dyDescent="0.4">
      <c r="A325" s="326" t="s">
        <v>211</v>
      </c>
      <c r="B325" s="327">
        <v>8.225745663239533E-4</v>
      </c>
      <c r="C325" s="328">
        <f t="shared" si="10"/>
        <v>118686.75876671082</v>
      </c>
      <c r="F325" s="327">
        <v>0</v>
      </c>
      <c r="G325" s="328">
        <f t="shared" si="11"/>
        <v>0</v>
      </c>
    </row>
    <row r="326" spans="1:7" x14ac:dyDescent="0.4">
      <c r="A326" s="326" t="s">
        <v>212</v>
      </c>
      <c r="B326" s="327">
        <v>8.4291191448594538E-2</v>
      </c>
      <c r="C326" s="328">
        <f t="shared" si="10"/>
        <v>12162117.229476823</v>
      </c>
      <c r="F326" s="327">
        <v>1.8369016429456885E-2</v>
      </c>
      <c r="G326" s="328">
        <f t="shared" si="11"/>
        <v>154820.62203416994</v>
      </c>
    </row>
    <row r="327" spans="1:7" x14ac:dyDescent="0.4">
      <c r="A327" s="326" t="s">
        <v>213</v>
      </c>
      <c r="B327" s="327">
        <v>7.2146069864767598E-2</v>
      </c>
      <c r="C327" s="328">
        <f t="shared" si="10"/>
        <v>10409734.923208978</v>
      </c>
      <c r="F327" s="327">
        <v>5.0514797097206729E-2</v>
      </c>
      <c r="G327" s="328">
        <f t="shared" si="11"/>
        <v>425756.72674438683</v>
      </c>
    </row>
    <row r="328" spans="1:7" x14ac:dyDescent="0.4">
      <c r="A328" s="326" t="s">
        <v>214</v>
      </c>
      <c r="B328" s="327">
        <v>1.2203060972086587E-2</v>
      </c>
      <c r="C328" s="328">
        <f t="shared" si="10"/>
        <v>1760742.2027185629</v>
      </c>
      <c r="F328" s="327">
        <v>1.377676423829296E-2</v>
      </c>
      <c r="G328" s="328">
        <f t="shared" si="11"/>
        <v>116115.48267604699</v>
      </c>
    </row>
    <row r="329" spans="1:7" x14ac:dyDescent="0.4">
      <c r="A329" s="326" t="s">
        <v>215</v>
      </c>
      <c r="B329" s="327">
        <v>2.8024871191929184E-2</v>
      </c>
      <c r="C329" s="328">
        <f t="shared" si="10"/>
        <v>4043622.6243770071</v>
      </c>
      <c r="F329" s="327">
        <v>9.1845074482483236E-3</v>
      </c>
      <c r="G329" s="328">
        <f t="shared" si="11"/>
        <v>77410.304556917152</v>
      </c>
    </row>
    <row r="330" spans="1:7" x14ac:dyDescent="0.4">
      <c r="A330" s="326" t="s">
        <v>216</v>
      </c>
      <c r="B330" s="327">
        <v>4.8519191295512557E-3</v>
      </c>
      <c r="C330" s="328">
        <f t="shared" si="10"/>
        <v>700068.51519628661</v>
      </c>
      <c r="F330" s="327">
        <v>2.2961276285421994E-3</v>
      </c>
      <c r="G330" s="328">
        <f t="shared" si="11"/>
        <v>19352.582599397101</v>
      </c>
    </row>
    <row r="331" spans="1:7" x14ac:dyDescent="0.4">
      <c r="A331" s="336" t="s">
        <v>176</v>
      </c>
      <c r="B331" s="337">
        <v>1.9094272777255721E-2</v>
      </c>
      <c r="C331" s="328">
        <f t="shared" si="10"/>
        <v>2755053.9971927777</v>
      </c>
      <c r="D331" s="338"/>
      <c r="E331" s="338"/>
      <c r="F331" s="337">
        <v>0</v>
      </c>
      <c r="G331" s="328">
        <f t="shared" si="11"/>
        <v>0</v>
      </c>
    </row>
    <row r="332" spans="1:7" x14ac:dyDescent="0.4">
      <c r="A332" s="336" t="s">
        <v>217</v>
      </c>
      <c r="B332" s="337">
        <v>1.5529114199683586E-2</v>
      </c>
      <c r="C332" s="328">
        <f t="shared" si="10"/>
        <v>2240648.2115235785</v>
      </c>
      <c r="D332" s="338"/>
      <c r="E332" s="338"/>
      <c r="F332" s="337">
        <v>1.6072888800914686E-2</v>
      </c>
      <c r="G332" s="328">
        <f t="shared" si="11"/>
        <v>135468.03943477283</v>
      </c>
    </row>
    <row r="333" spans="1:7" x14ac:dyDescent="0.4">
      <c r="A333" s="336" t="s">
        <v>218</v>
      </c>
      <c r="B333" s="337">
        <v>3.4075392533062611E-2</v>
      </c>
      <c r="C333" s="328">
        <f t="shared" si="10"/>
        <v>4916633.772821784</v>
      </c>
      <c r="D333" s="338"/>
      <c r="E333" s="338"/>
      <c r="F333" s="337">
        <v>4.5922552570843989E-3</v>
      </c>
      <c r="G333" s="328">
        <f t="shared" si="11"/>
        <v>38705.165198794202</v>
      </c>
    </row>
    <row r="334" spans="1:7" x14ac:dyDescent="0.4">
      <c r="A334" s="336" t="s">
        <v>219</v>
      </c>
      <c r="B334" s="337">
        <v>5.5138712273544409E-3</v>
      </c>
      <c r="C334" s="328">
        <f t="shared" si="10"/>
        <v>795579.55111147161</v>
      </c>
      <c r="D334" s="338"/>
      <c r="E334" s="338"/>
      <c r="F334" s="337">
        <v>6.8883798197061242E-3</v>
      </c>
      <c r="G334" s="328">
        <f t="shared" si="11"/>
        <v>58057.721957520043</v>
      </c>
    </row>
    <row r="335" spans="1:7" x14ac:dyDescent="0.4">
      <c r="A335" s="326" t="s">
        <v>220</v>
      </c>
      <c r="B335" s="327">
        <v>4.2910629964673245E-3</v>
      </c>
      <c r="C335" s="328">
        <f t="shared" si="10"/>
        <v>619144.30565301818</v>
      </c>
      <c r="F335" s="327">
        <v>0</v>
      </c>
      <c r="G335" s="328">
        <f t="shared" si="11"/>
        <v>0</v>
      </c>
    </row>
    <row r="336" spans="1:7" x14ac:dyDescent="0.4">
      <c r="A336" s="326" t="s">
        <v>221</v>
      </c>
      <c r="B336" s="327">
        <v>8.108842299943544E-4</v>
      </c>
      <c r="C336" s="328">
        <f t="shared" si="10"/>
        <v>116999.99602852717</v>
      </c>
      <c r="F336" s="327">
        <v>0</v>
      </c>
      <c r="G336" s="328">
        <f t="shared" si="11"/>
        <v>0</v>
      </c>
    </row>
    <row r="337" spans="1:7" x14ac:dyDescent="0.4">
      <c r="A337" s="326" t="s">
        <v>222</v>
      </c>
      <c r="B337" s="327">
        <v>8.108842299943544E-4</v>
      </c>
      <c r="C337" s="328">
        <f t="shared" si="10"/>
        <v>116999.99602852717</v>
      </c>
      <c r="F337" s="327">
        <v>0</v>
      </c>
      <c r="G337" s="328">
        <f t="shared" si="11"/>
        <v>0</v>
      </c>
    </row>
    <row r="338" spans="1:7" x14ac:dyDescent="0.4">
      <c r="A338" s="326" t="s">
        <v>223</v>
      </c>
      <c r="B338" s="327">
        <v>1.2488419493113589E-2</v>
      </c>
      <c r="C338" s="328">
        <f t="shared" si="10"/>
        <v>1801915.707630723</v>
      </c>
      <c r="F338" s="327">
        <v>1.8369016429456885E-2</v>
      </c>
      <c r="G338" s="328">
        <f t="shared" si="11"/>
        <v>154820.62203416994</v>
      </c>
    </row>
    <row r="339" spans="1:7" x14ac:dyDescent="0.4">
      <c r="A339" s="326" t="s">
        <v>224</v>
      </c>
      <c r="B339" s="327">
        <v>7.7132242904585438E-3</v>
      </c>
      <c r="C339" s="328">
        <f t="shared" si="10"/>
        <v>1112917.452294111</v>
      </c>
      <c r="F339" s="327">
        <v>2.5739688534150786E-2</v>
      </c>
      <c r="G339" s="328">
        <f t="shared" si="11"/>
        <v>216943.27538585805</v>
      </c>
    </row>
    <row r="340" spans="1:7" x14ac:dyDescent="0.4">
      <c r="A340" s="326" t="s">
        <v>225</v>
      </c>
      <c r="B340" s="327">
        <v>1.210084397941266E-2</v>
      </c>
      <c r="C340" s="328">
        <f t="shared" si="10"/>
        <v>1745993.6266647647</v>
      </c>
      <c r="F340" s="327">
        <v>3.3051646728804424E-2</v>
      </c>
      <c r="G340" s="328">
        <f t="shared" si="11"/>
        <v>278571.06696258939</v>
      </c>
    </row>
    <row r="341" spans="1:7" x14ac:dyDescent="0.4">
      <c r="A341" s="326" t="s">
        <v>226</v>
      </c>
      <c r="B341" s="327">
        <v>3.673461124986812E-3</v>
      </c>
      <c r="C341" s="328">
        <f t="shared" si="10"/>
        <v>530032.42773311585</v>
      </c>
      <c r="F341" s="327">
        <v>2.2961276285421994E-3</v>
      </c>
      <c r="G341" s="328">
        <f t="shared" si="11"/>
        <v>19352.582599397101</v>
      </c>
    </row>
    <row r="342" spans="1:7" x14ac:dyDescent="0.4">
      <c r="A342" s="326" t="s">
        <v>227</v>
      </c>
      <c r="B342" s="327">
        <v>1.2707539132714493E-3</v>
      </c>
      <c r="C342" s="328">
        <f t="shared" si="10"/>
        <v>183353.18077036724</v>
      </c>
      <c r="F342" s="327">
        <v>0</v>
      </c>
      <c r="G342" s="328">
        <f t="shared" si="11"/>
        <v>0</v>
      </c>
    </row>
    <row r="343" spans="1:7" x14ac:dyDescent="0.4">
      <c r="A343" s="326" t="s">
        <v>228</v>
      </c>
      <c r="B343" s="327">
        <v>8.108842299943544E-4</v>
      </c>
      <c r="C343" s="328">
        <f t="shared" si="10"/>
        <v>116999.99602852717</v>
      </c>
      <c r="F343" s="327">
        <v>2.2961276285421994E-3</v>
      </c>
      <c r="G343" s="328">
        <f t="shared" si="11"/>
        <v>19352.582599397101</v>
      </c>
    </row>
    <row r="344" spans="1:7" x14ac:dyDescent="0.4">
      <c r="A344" s="326" t="s">
        <v>229</v>
      </c>
      <c r="B344" s="327">
        <v>3.5215469097896482E-2</v>
      </c>
      <c r="C344" s="328">
        <f t="shared" si="10"/>
        <v>5081131.9201821145</v>
      </c>
      <c r="F344" s="327">
        <v>3.6738031325953532E-2</v>
      </c>
      <c r="G344" s="328">
        <f t="shared" si="11"/>
        <v>309641.23114800424</v>
      </c>
    </row>
    <row r="345" spans="1:7" x14ac:dyDescent="0.4">
      <c r="A345" s="326" t="s">
        <v>230</v>
      </c>
      <c r="B345" s="327">
        <v>1.9472609279833466E-3</v>
      </c>
      <c r="C345" s="328">
        <f t="shared" si="10"/>
        <v>280964.30096087069</v>
      </c>
      <c r="F345" s="327">
        <v>4.5922552570843989E-3</v>
      </c>
      <c r="G345" s="328">
        <f t="shared" si="11"/>
        <v>38705.165198794202</v>
      </c>
    </row>
    <row r="346" spans="1:7" x14ac:dyDescent="0.4">
      <c r="A346" s="326" t="s">
        <v>231</v>
      </c>
      <c r="B346" s="327">
        <v>2.4992010159576823E-2</v>
      </c>
      <c r="C346" s="328">
        <f t="shared" si="10"/>
        <v>3606020.4172866414</v>
      </c>
      <c r="F346" s="327">
        <v>4.5922552570843989E-3</v>
      </c>
      <c r="G346" s="328">
        <f t="shared" si="11"/>
        <v>38705.165198794202</v>
      </c>
    </row>
    <row r="347" spans="1:7" x14ac:dyDescent="0.4">
      <c r="A347" s="326" t="s">
        <v>232</v>
      </c>
      <c r="B347" s="327">
        <v>4.2670846929614564E-3</v>
      </c>
      <c r="C347" s="328">
        <f t="shared" si="10"/>
        <v>615684.5498565872</v>
      </c>
      <c r="F347" s="327">
        <v>2.2961276285421994E-3</v>
      </c>
      <c r="G347" s="328">
        <f t="shared" si="11"/>
        <v>19352.582599397101</v>
      </c>
    </row>
    <row r="348" spans="1:7" x14ac:dyDescent="0.4">
      <c r="A348" s="326" t="s">
        <v>233</v>
      </c>
      <c r="B348" s="327">
        <v>3.0265343298935933E-3</v>
      </c>
      <c r="C348" s="328">
        <f t="shared" si="10"/>
        <v>436689.34661636828</v>
      </c>
      <c r="F348" s="327">
        <v>0</v>
      </c>
      <c r="G348" s="328">
        <f t="shared" si="11"/>
        <v>0</v>
      </c>
    </row>
    <row r="349" spans="1:7" x14ac:dyDescent="0.4">
      <c r="A349" s="326" t="s">
        <v>135</v>
      </c>
      <c r="B349" s="331">
        <v>0</v>
      </c>
      <c r="C349" s="332">
        <f t="shared" si="10"/>
        <v>0</v>
      </c>
      <c r="F349" s="327"/>
      <c r="G349" s="328">
        <f t="shared" si="11"/>
        <v>0</v>
      </c>
    </row>
    <row r="350" spans="1:7" ht="14.65" thickBot="1" x14ac:dyDescent="0.45">
      <c r="A350" s="326" t="s">
        <v>136</v>
      </c>
      <c r="B350" s="329">
        <f>SUM(B291:B349)</f>
        <v>1</v>
      </c>
      <c r="C350" s="330">
        <f>SUM(C291:C349)</f>
        <v>144286929.87325913</v>
      </c>
      <c r="F350" s="462">
        <f>SUM(F291:F349)</f>
        <v>1.0000000000000002</v>
      </c>
      <c r="G350" s="463">
        <f>SUM(G291:G349)</f>
        <v>8428356.6639908273</v>
      </c>
    </row>
  </sheetData>
  <mergeCells count="21">
    <mergeCell ref="A6:G6"/>
    <mergeCell ref="B144:C144"/>
    <mergeCell ref="A37:G37"/>
    <mergeCell ref="A4:G4"/>
    <mergeCell ref="A65:G65"/>
    <mergeCell ref="A66:G66"/>
    <mergeCell ref="B70:C70"/>
    <mergeCell ref="F70:G70"/>
    <mergeCell ref="F144:G144"/>
    <mergeCell ref="A139:G139"/>
    <mergeCell ref="A38:G38"/>
    <mergeCell ref="A137:G137"/>
    <mergeCell ref="F216:G216"/>
    <mergeCell ref="A212:G212"/>
    <mergeCell ref="A140:G140"/>
    <mergeCell ref="A211:G211"/>
    <mergeCell ref="B288:C288"/>
    <mergeCell ref="F288:G288"/>
    <mergeCell ref="A283:G283"/>
    <mergeCell ref="A284:G284"/>
    <mergeCell ref="B216:C216"/>
  </mergeCells>
  <phoneticPr fontId="18" type="noConversion"/>
  <hyperlinks>
    <hyperlink ref="A11" r:id="rId1"/>
    <hyperlink ref="A12:A13" r:id="rId2" display="Protective Services"/>
    <hyperlink ref="A27" r:id="rId3"/>
    <hyperlink ref="A28" r:id="rId4"/>
    <hyperlink ref="A29" r:id="rId5"/>
    <hyperlink ref="A12" r:id="rId6"/>
    <hyperlink ref="A13" r:id="rId7"/>
    <hyperlink ref="A30" r:id="rId8"/>
  </hyperlinks>
  <pageMargins left="1.25" right="1" top="1" bottom="1" header="0.3" footer="0.3"/>
  <pageSetup scale="61" fitToHeight="5" orientation="portrait" r:id="rId9"/>
  <headerFooter alignWithMargins="0">
    <oddHeader>&amp;C&amp;"Calibri,Bold"&amp;14&amp;A</oddHeader>
    <oddFooter>&amp;L&amp;Z&amp;F &amp;A</oddFooter>
  </headerFooter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8"/>
  <sheetViews>
    <sheetView tabSelected="1" workbookViewId="0">
      <pane xSplit="4" ySplit="4" topLeftCell="E5" activePane="bottomRight" state="frozen"/>
      <selection activeCell="N27" sqref="N27"/>
      <selection pane="topRight" activeCell="N27" sqref="N27"/>
      <selection pane="bottomLeft" activeCell="N27" sqref="N27"/>
      <selection pane="bottomRight" activeCell="P14" sqref="P14:P17"/>
    </sheetView>
  </sheetViews>
  <sheetFormatPr defaultRowHeight="14.25" outlineLevelRow="2" x14ac:dyDescent="0.45"/>
  <cols>
    <col min="1" max="1" width="30" style="84" customWidth="1"/>
    <col min="2" max="3" width="15" style="539" customWidth="1"/>
    <col min="4" max="4" width="19" bestFit="1" customWidth="1"/>
    <col min="5" max="6" width="13.73046875" bestFit="1" customWidth="1"/>
    <col min="7" max="7" width="12.73046875" customWidth="1"/>
    <col min="8" max="8" width="13.73046875" bestFit="1" customWidth="1"/>
    <col min="9" max="16" width="12.73046875" customWidth="1"/>
    <col min="17" max="17" width="4.59765625" customWidth="1"/>
    <col min="18" max="19" width="12.73046875" customWidth="1"/>
    <col min="20" max="20" width="9.1328125" customWidth="1"/>
  </cols>
  <sheetData>
    <row r="1" spans="1:21" ht="16.149999999999999" thickBot="1" x14ac:dyDescent="0.5">
      <c r="A1" s="475" t="s">
        <v>19</v>
      </c>
      <c r="B1" s="129"/>
      <c r="C1" s="129"/>
      <c r="D1" s="105" t="s">
        <v>17</v>
      </c>
      <c r="G1" s="24" t="s">
        <v>20</v>
      </c>
      <c r="Q1" s="354" t="s">
        <v>161</v>
      </c>
      <c r="R1" s="354"/>
      <c r="S1" s="459">
        <f>'County One Time Input-GROWTH'!D3</f>
        <v>0</v>
      </c>
      <c r="T1" s="168"/>
      <c r="U1" s="168"/>
    </row>
    <row r="2" spans="1:21" ht="14.65" thickBot="1" x14ac:dyDescent="0.5">
      <c r="A2" s="129"/>
      <c r="B2" s="129"/>
      <c r="C2" s="129"/>
      <c r="P2" s="421"/>
      <c r="R2" s="428">
        <f>'County One Time Input-GROWTH'!C6</f>
        <v>0.65</v>
      </c>
    </row>
    <row r="3" spans="1:21" s="29" customFormat="1" ht="28.9" thickBot="1" x14ac:dyDescent="0.5">
      <c r="A3" s="231" t="s">
        <v>21</v>
      </c>
      <c r="B3" s="232" t="s">
        <v>42</v>
      </c>
      <c r="C3" s="232" t="s">
        <v>22</v>
      </c>
      <c r="D3" s="233" t="str">
        <f>CONCATENATE("RECEIPTS THROUGH"," ",D1)</f>
        <v>RECEIPTS THROUGH JULY</v>
      </c>
      <c r="E3" s="234" t="s">
        <v>7</v>
      </c>
      <c r="F3" s="234" t="s">
        <v>8</v>
      </c>
      <c r="G3" s="234" t="s">
        <v>9</v>
      </c>
      <c r="H3" s="234" t="s">
        <v>10</v>
      </c>
      <c r="I3" s="234" t="s">
        <v>11</v>
      </c>
      <c r="J3" s="234" t="s">
        <v>12</v>
      </c>
      <c r="K3" s="234" t="s">
        <v>13</v>
      </c>
      <c r="L3" s="234" t="s">
        <v>14</v>
      </c>
      <c r="M3" s="234" t="s">
        <v>15</v>
      </c>
      <c r="N3" s="234" t="s">
        <v>16</v>
      </c>
      <c r="O3" s="234" t="s">
        <v>17</v>
      </c>
      <c r="P3" s="235" t="s">
        <v>18</v>
      </c>
      <c r="R3" s="412" t="s">
        <v>175</v>
      </c>
      <c r="S3" s="412" t="s">
        <v>173</v>
      </c>
    </row>
    <row r="4" spans="1:21" ht="5.25" customHeight="1" thickBot="1" x14ac:dyDescent="0.5">
      <c r="A4" s="30"/>
      <c r="B4" s="31"/>
      <c r="C4" s="44"/>
      <c r="D4" s="30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R4" s="382"/>
      <c r="S4" s="382"/>
    </row>
    <row r="5" spans="1:21" x14ac:dyDescent="0.45">
      <c r="A5" s="712" t="str">
        <f>'County One Time Input-BASE'!A11</f>
        <v>PROTECTIVE SERVICES</v>
      </c>
      <c r="B5" s="495">
        <f>'County One Time Input-BASE'!C11</f>
        <v>0.62867065617841666</v>
      </c>
      <c r="C5" s="496">
        <f>'County One Time Input-BASE'!B11</f>
        <v>2258027908.91605</v>
      </c>
      <c r="D5" s="35">
        <f>SUM(E5:P5)+S5</f>
        <v>2164305417.54</v>
      </c>
      <c r="E5" s="248">
        <v>173843667.94</v>
      </c>
      <c r="F5" s="248">
        <v>174095104.50999999</v>
      </c>
      <c r="G5" s="248">
        <v>227349571.69</v>
      </c>
      <c r="H5" s="248">
        <v>173205060.75999999</v>
      </c>
      <c r="I5" s="248">
        <v>182385063.77000001</v>
      </c>
      <c r="J5" s="248">
        <v>269104147.74000001</v>
      </c>
      <c r="K5" s="248">
        <v>169321404.22</v>
      </c>
      <c r="L5" s="248">
        <v>144955747.83000001</v>
      </c>
      <c r="M5" s="248">
        <v>233389672.75</v>
      </c>
      <c r="N5" s="248">
        <v>169829792.31</v>
      </c>
      <c r="O5" s="248">
        <v>246826184.02000001</v>
      </c>
      <c r="P5" s="422"/>
      <c r="R5" s="430">
        <f>'County One Time Input-GROWTH'!C10+'County One Time Input-GROWTH'!C13</f>
        <v>0.45</v>
      </c>
      <c r="S5" s="414">
        <f>S$1*R$2*R5</f>
        <v>0</v>
      </c>
    </row>
    <row r="6" spans="1:21" x14ac:dyDescent="0.45">
      <c r="A6" s="712" t="str">
        <f>'County One Time Input-BASE'!A12</f>
        <v>BEHAVIORAL HEALTH</v>
      </c>
      <c r="B6" s="495">
        <f>'County One Time Input-BASE'!C12</f>
        <v>0.3699083095569205</v>
      </c>
      <c r="C6" s="496">
        <f>'County One Time Input-BASE'!B12</f>
        <v>1328618217.6800001</v>
      </c>
      <c r="D6" s="36">
        <f>SUM(E6:P6)+S6</f>
        <v>1273683730.2199998</v>
      </c>
      <c r="E6" s="249">
        <v>102256666.27</v>
      </c>
      <c r="F6" s="249">
        <v>102405179.06999999</v>
      </c>
      <c r="G6" s="249">
        <v>133860309.09</v>
      </c>
      <c r="H6" s="249">
        <v>101879468.39</v>
      </c>
      <c r="I6" s="249">
        <v>107301702.51000001</v>
      </c>
      <c r="J6" s="249">
        <v>158522946.56999999</v>
      </c>
      <c r="K6" s="249">
        <v>99585559.019999996</v>
      </c>
      <c r="L6" s="249">
        <v>85193810.689999998</v>
      </c>
      <c r="M6" s="249">
        <v>137427937.76999998</v>
      </c>
      <c r="N6" s="249">
        <v>99885842.070000008</v>
      </c>
      <c r="O6" s="249">
        <v>145364308.76999998</v>
      </c>
      <c r="P6" s="423"/>
      <c r="R6" s="430">
        <f>'County One Time Input-GROWTH'!C14</f>
        <v>0.5</v>
      </c>
      <c r="S6" s="415">
        <f>S1*R2*R6</f>
        <v>0</v>
      </c>
    </row>
    <row r="7" spans="1:21" ht="14.65" thickBot="1" x14ac:dyDescent="0.5">
      <c r="A7" s="712" t="str">
        <f>'County One Time Input-BASE'!A13</f>
        <v>WCRTS (FIXED AMT)</v>
      </c>
      <c r="B7" s="495">
        <f>'County One Time Input-BASE'!C13</f>
        <v>1.4210342646628175E-3</v>
      </c>
      <c r="C7" s="496">
        <f>'County One Time Input-BASE'!B13</f>
        <v>5104000</v>
      </c>
      <c r="D7" s="49">
        <f>SUM(E7:P7)+S7</f>
        <v>4678666.63</v>
      </c>
      <c r="E7" s="250">
        <v>425333.33</v>
      </c>
      <c r="F7" s="250">
        <v>425333.33</v>
      </c>
      <c r="G7" s="250">
        <v>425333.33</v>
      </c>
      <c r="H7" s="250">
        <v>425333.33</v>
      </c>
      <c r="I7" s="250">
        <v>425333.33</v>
      </c>
      <c r="J7" s="250">
        <v>425333.33</v>
      </c>
      <c r="K7" s="250">
        <v>425333.33</v>
      </c>
      <c r="L7" s="250">
        <v>425333.33</v>
      </c>
      <c r="M7" s="250">
        <v>425333.33</v>
      </c>
      <c r="N7" s="250">
        <v>425333.33</v>
      </c>
      <c r="O7" s="250">
        <v>425333.33</v>
      </c>
      <c r="P7" s="424"/>
      <c r="R7" s="431">
        <f>0</f>
        <v>0</v>
      </c>
      <c r="S7" s="416">
        <v>0</v>
      </c>
    </row>
    <row r="8" spans="1:21" ht="14.65" thickBot="1" x14ac:dyDescent="0.5">
      <c r="A8" s="476" t="s">
        <v>24</v>
      </c>
      <c r="B8" s="497">
        <f>SUM(B5:B7)</f>
        <v>1</v>
      </c>
      <c r="C8" s="498">
        <f>SUM(C5:C7)</f>
        <v>3591750126.5960503</v>
      </c>
      <c r="D8" s="103">
        <f>SUM(E8:P8)+S8</f>
        <v>3442667814.3899999</v>
      </c>
      <c r="E8" s="53">
        <f t="shared" ref="E8:S8" si="0">SUM(E5:E7)</f>
        <v>276525667.53999996</v>
      </c>
      <c r="F8" s="53">
        <f t="shared" si="0"/>
        <v>276925616.90999997</v>
      </c>
      <c r="G8" s="53">
        <f t="shared" si="0"/>
        <v>361635214.10999995</v>
      </c>
      <c r="H8" s="53">
        <f t="shared" si="0"/>
        <v>275509862.47999996</v>
      </c>
      <c r="I8" s="53">
        <f t="shared" si="0"/>
        <v>290112099.61000001</v>
      </c>
      <c r="J8" s="53">
        <f t="shared" si="0"/>
        <v>428052427.63999999</v>
      </c>
      <c r="K8" s="53">
        <f t="shared" si="0"/>
        <v>269332296.56999999</v>
      </c>
      <c r="L8" s="53">
        <f t="shared" si="0"/>
        <v>230574891.85000002</v>
      </c>
      <c r="M8" s="53">
        <f t="shared" si="0"/>
        <v>371242943.84999996</v>
      </c>
      <c r="N8" s="53">
        <f t="shared" si="0"/>
        <v>270140967.70999998</v>
      </c>
      <c r="O8" s="53">
        <f t="shared" si="0"/>
        <v>392615826.11999995</v>
      </c>
      <c r="P8" s="474">
        <f t="shared" si="0"/>
        <v>0</v>
      </c>
      <c r="R8" s="429"/>
      <c r="S8" s="417">
        <f t="shared" si="0"/>
        <v>0</v>
      </c>
    </row>
    <row r="9" spans="1:21" x14ac:dyDescent="0.45">
      <c r="A9" s="477"/>
      <c r="B9" s="499"/>
      <c r="C9" s="500"/>
      <c r="D9" s="121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425"/>
      <c r="S9" s="418"/>
    </row>
    <row r="10" spans="1:21" x14ac:dyDescent="0.45">
      <c r="A10" s="477"/>
      <c r="B10" s="499"/>
      <c r="C10" s="500"/>
      <c r="D10" s="109"/>
      <c r="E10" s="110"/>
      <c r="F10" s="110"/>
      <c r="G10" s="24" t="s">
        <v>82</v>
      </c>
      <c r="H10" s="110"/>
      <c r="I10" s="110"/>
      <c r="J10" s="110"/>
      <c r="K10" s="110"/>
      <c r="L10" s="110"/>
      <c r="M10" s="110"/>
      <c r="N10" s="110"/>
      <c r="O10" s="110"/>
      <c r="P10" s="425"/>
      <c r="S10" s="418"/>
    </row>
    <row r="11" spans="1:21" ht="14.65" thickBot="1" x14ac:dyDescent="0.5">
      <c r="A11" s="477"/>
      <c r="B11" s="499"/>
      <c r="C11" s="500"/>
      <c r="D11" s="109"/>
      <c r="E11" s="619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425"/>
      <c r="R11" s="428">
        <f>'County One Time Input-GROWTH'!C19</f>
        <v>0.35</v>
      </c>
      <c r="S11" s="418"/>
    </row>
    <row r="12" spans="1:21" s="29" customFormat="1" ht="28.9" thickBot="1" x14ac:dyDescent="0.5">
      <c r="A12" s="231" t="s">
        <v>21</v>
      </c>
      <c r="B12" s="232" t="s">
        <v>42</v>
      </c>
      <c r="C12" s="230" t="s">
        <v>22</v>
      </c>
      <c r="D12" s="233" t="str">
        <f>CONCATENATE("RECEIPTS THROUGH"," ",D10)</f>
        <v xml:space="preserve">RECEIPTS THROUGH </v>
      </c>
      <c r="E12" s="234" t="s">
        <v>7</v>
      </c>
      <c r="F12" s="234" t="s">
        <v>8</v>
      </c>
      <c r="G12" s="234" t="s">
        <v>9</v>
      </c>
      <c r="H12" s="234" t="s">
        <v>10</v>
      </c>
      <c r="I12" s="234" t="s">
        <v>11</v>
      </c>
      <c r="J12" s="234" t="s">
        <v>12</v>
      </c>
      <c r="K12" s="234" t="s">
        <v>13</v>
      </c>
      <c r="L12" s="234" t="s">
        <v>14</v>
      </c>
      <c r="M12" s="234" t="s">
        <v>15</v>
      </c>
      <c r="N12" s="234" t="s">
        <v>16</v>
      </c>
      <c r="O12" s="234" t="s">
        <v>17</v>
      </c>
      <c r="P12" s="426" t="s">
        <v>18</v>
      </c>
      <c r="R12" s="412" t="s">
        <v>175</v>
      </c>
      <c r="S12" s="412" t="s">
        <v>173</v>
      </c>
    </row>
    <row r="13" spans="1:21" ht="5.25" customHeight="1" thickBot="1" x14ac:dyDescent="0.5">
      <c r="A13" s="115"/>
      <c r="B13" s="116"/>
      <c r="C13" s="124"/>
      <c r="D13" s="115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427"/>
      <c r="R13" s="434"/>
      <c r="S13" s="419"/>
    </row>
    <row r="14" spans="1:21" x14ac:dyDescent="0.45">
      <c r="A14" s="119" t="str">
        <f>'County One Time Input-BASE'!A27</f>
        <v>TRIAL COURT SECURITY</v>
      </c>
      <c r="B14" s="495">
        <f>'County One Time Input-BASE'!C27</f>
        <v>0.27832042867541995</v>
      </c>
      <c r="C14" s="501">
        <f>'County One Time Input-BASE'!B27</f>
        <v>550340286.53725004</v>
      </c>
      <c r="D14" s="35">
        <f t="shared" ref="D14:D20" si="1">SUM(E14:P14)+S14</f>
        <v>527497097.09999996</v>
      </c>
      <c r="E14" s="248">
        <v>42370189.280000001</v>
      </c>
      <c r="F14" s="248">
        <v>42431470.859999999</v>
      </c>
      <c r="G14" s="248">
        <v>55410959.149999999</v>
      </c>
      <c r="H14" s="248">
        <v>42214544.219999999</v>
      </c>
      <c r="I14" s="248">
        <v>44451947.920000002</v>
      </c>
      <c r="J14" s="248">
        <v>65587627.140000001</v>
      </c>
      <c r="K14" s="248">
        <v>41267996.869999997</v>
      </c>
      <c r="L14" s="248">
        <v>35329457.460000001</v>
      </c>
      <c r="M14" s="248">
        <v>56883087.700000003</v>
      </c>
      <c r="N14" s="248">
        <v>41391904.170000002</v>
      </c>
      <c r="O14" s="248">
        <v>60157912.329999998</v>
      </c>
      <c r="P14" s="422"/>
      <c r="R14" s="430">
        <f>'County One Time Input-GROWTH'!C23</f>
        <v>0.1</v>
      </c>
      <c r="S14" s="414">
        <f>S$1*R$11*R14</f>
        <v>0</v>
      </c>
    </row>
    <row r="15" spans="1:21" x14ac:dyDescent="0.45">
      <c r="A15" s="119" t="str">
        <f>'County One Time Input-BASE'!A28</f>
        <v>COMMUNITY CORRECTIONS</v>
      </c>
      <c r="B15" s="495">
        <f>'County One Time Input-BASE'!C28</f>
        <v>0.62763536854710811</v>
      </c>
      <c r="C15" s="501">
        <f>'County One Time Input-BASE'!B28</f>
        <v>1241062433.724375</v>
      </c>
      <c r="D15" s="36">
        <f t="shared" si="1"/>
        <v>1189550303.7400002</v>
      </c>
      <c r="E15" s="249">
        <v>95548339.120000005</v>
      </c>
      <c r="F15" s="249">
        <v>95686534.239999995</v>
      </c>
      <c r="G15" s="249">
        <v>124956371.62</v>
      </c>
      <c r="H15" s="248">
        <v>95197346.439999998</v>
      </c>
      <c r="I15" s="249">
        <v>100242879.88</v>
      </c>
      <c r="J15" s="249">
        <v>147905613.55000001</v>
      </c>
      <c r="K15" s="249">
        <v>93062802.590000004</v>
      </c>
      <c r="L15" s="249">
        <v>79670896.939999998</v>
      </c>
      <c r="M15" s="249">
        <v>128276145.26000001</v>
      </c>
      <c r="N15" s="249">
        <v>93342223.969999999</v>
      </c>
      <c r="O15" s="249">
        <v>135661150.13</v>
      </c>
      <c r="P15" s="423"/>
      <c r="R15" s="430">
        <f>'County One Time Input-GROWTH'!C24</f>
        <v>0.75</v>
      </c>
      <c r="S15" s="414">
        <f>S$1*R$11*R15</f>
        <v>0</v>
      </c>
    </row>
    <row r="16" spans="1:21" x14ac:dyDescent="0.45">
      <c r="A16" s="119" t="str">
        <f>'County One Time Input-BASE'!A29</f>
        <v>DA &amp; PUBLIC DEFENDER</v>
      </c>
      <c r="B16" s="495">
        <f>'County One Time Input-BASE'!C29</f>
        <v>1.6812379023896633E-2</v>
      </c>
      <c r="C16" s="501">
        <f>'County One Time Input-BASE'!B29</f>
        <v>33244162.253625002</v>
      </c>
      <c r="D16" s="36">
        <f t="shared" si="1"/>
        <v>31865509.809999995</v>
      </c>
      <c r="E16" s="250">
        <v>2559535.7599999998</v>
      </c>
      <c r="F16" s="250">
        <v>2563237.71</v>
      </c>
      <c r="G16" s="250">
        <v>3347314.09</v>
      </c>
      <c r="H16" s="248">
        <v>2550133.41</v>
      </c>
      <c r="I16" s="250">
        <v>2685292.47</v>
      </c>
      <c r="J16" s="250">
        <v>3962075.22</v>
      </c>
      <c r="K16" s="250">
        <v>2492953.54</v>
      </c>
      <c r="L16" s="250">
        <v>2134213.02</v>
      </c>
      <c r="M16" s="250">
        <v>3436243.72</v>
      </c>
      <c r="N16" s="250">
        <v>2500438.65</v>
      </c>
      <c r="O16" s="250">
        <v>3634072.22</v>
      </c>
      <c r="P16" s="424"/>
      <c r="R16" s="430">
        <f>'County One Time Input-GROWTH'!C25</f>
        <v>0.05</v>
      </c>
      <c r="S16" s="414">
        <f>S$1*R$11*R16</f>
        <v>0</v>
      </c>
    </row>
    <row r="17" spans="1:19" x14ac:dyDescent="0.45">
      <c r="A17" s="119" t="str">
        <f>'County One Time Input-BASE'!A30</f>
        <v>JUVENILE JUSTICE</v>
      </c>
      <c r="B17" s="495">
        <f>'County One Time Input-BASE'!C30</f>
        <v>7.7231823753575263E-2</v>
      </c>
      <c r="C17" s="501">
        <f>'County One Time Input-BASE'!B30</f>
        <v>152715286.53724998</v>
      </c>
      <c r="D17" s="36">
        <f t="shared" si="1"/>
        <v>146377032.92000002</v>
      </c>
      <c r="E17" s="249">
        <v>11757453.5</v>
      </c>
      <c r="F17" s="249">
        <v>11774458.74</v>
      </c>
      <c r="G17" s="249">
        <v>15376182.800000001</v>
      </c>
      <c r="H17" s="249">
        <v>11714263</v>
      </c>
      <c r="I17" s="249">
        <v>12335128.060000001</v>
      </c>
      <c r="J17" s="249">
        <v>18200142.350000001</v>
      </c>
      <c r="K17" s="249">
        <v>11451602.24</v>
      </c>
      <c r="L17" s="249">
        <v>9803695.9600000009</v>
      </c>
      <c r="M17" s="249">
        <v>15784688.949999999</v>
      </c>
      <c r="N17" s="249">
        <v>11485985.710000001</v>
      </c>
      <c r="O17" s="249">
        <v>16693431.609999999</v>
      </c>
      <c r="P17" s="251"/>
      <c r="R17" s="430">
        <f>'County One Time Input-GROWTH'!C26</f>
        <v>0.1</v>
      </c>
      <c r="S17" s="414">
        <f>S$1*R$11*R17</f>
        <v>0</v>
      </c>
    </row>
    <row r="18" spans="1:19" s="406" customFormat="1" outlineLevel="1" x14ac:dyDescent="0.45">
      <c r="A18" s="478" t="s">
        <v>154</v>
      </c>
      <c r="B18" s="402">
        <f>'County One Time Input-BASE'!C31</f>
        <v>0.94481000000000004</v>
      </c>
      <c r="C18" s="403">
        <f>C17*B18</f>
        <v>144286929.87325916</v>
      </c>
      <c r="D18" s="408">
        <f t="shared" si="1"/>
        <v>138298484.47314522</v>
      </c>
      <c r="E18" s="404">
        <f>E17*$B18</f>
        <v>11108559.641335001</v>
      </c>
      <c r="F18" s="404">
        <f t="shared" ref="F18:S18" si="2">F17*$B18</f>
        <v>11124626.3621394</v>
      </c>
      <c r="G18" s="404">
        <f t="shared" si="2"/>
        <v>14527571.271268001</v>
      </c>
      <c r="H18" s="404">
        <f t="shared" si="2"/>
        <v>11067752.825030001</v>
      </c>
      <c r="I18" s="404">
        <f t="shared" si="2"/>
        <v>11654352.342368601</v>
      </c>
      <c r="J18" s="404">
        <f t="shared" si="2"/>
        <v>17195676.493703503</v>
      </c>
      <c r="K18" s="404">
        <f t="shared" si="2"/>
        <v>10819588.3123744</v>
      </c>
      <c r="L18" s="404">
        <f t="shared" si="2"/>
        <v>9262629.9799676016</v>
      </c>
      <c r="M18" s="404">
        <f t="shared" si="2"/>
        <v>14913531.9668495</v>
      </c>
      <c r="N18" s="404">
        <f t="shared" si="2"/>
        <v>10852074.158665102</v>
      </c>
      <c r="O18" s="404">
        <f t="shared" si="2"/>
        <v>15772121.1194441</v>
      </c>
      <c r="P18" s="405">
        <f t="shared" si="2"/>
        <v>0</v>
      </c>
      <c r="R18" s="435">
        <f>'County One Time Input-GROWTH'!C27</f>
        <v>0.94481000000000004</v>
      </c>
      <c r="S18" s="407">
        <f t="shared" si="2"/>
        <v>0</v>
      </c>
    </row>
    <row r="19" spans="1:19" s="406" customFormat="1" ht="14.65" outlineLevel="1" thickBot="1" x14ac:dyDescent="0.5">
      <c r="A19" s="478" t="s">
        <v>155</v>
      </c>
      <c r="B19" s="402">
        <f>'County One Time Input-BASE'!C32</f>
        <v>5.5190000000000003E-2</v>
      </c>
      <c r="C19" s="403">
        <f>C17*B19</f>
        <v>8428356.6639908273</v>
      </c>
      <c r="D19" s="409">
        <f t="shared" si="1"/>
        <v>8078548.4468548009</v>
      </c>
      <c r="E19" s="410">
        <f>E17*$B19</f>
        <v>648893.85866500007</v>
      </c>
      <c r="F19" s="410">
        <f t="shared" ref="F19:P19" si="3">F17*$B19</f>
        <v>649832.37786060001</v>
      </c>
      <c r="G19" s="410">
        <f t="shared" si="3"/>
        <v>848611.52873200004</v>
      </c>
      <c r="H19" s="410">
        <f t="shared" si="3"/>
        <v>646510.17497000005</v>
      </c>
      <c r="I19" s="410">
        <f t="shared" si="3"/>
        <v>680775.7176314001</v>
      </c>
      <c r="J19" s="410">
        <f t="shared" si="3"/>
        <v>1004465.8562965002</v>
      </c>
      <c r="K19" s="410">
        <f t="shared" si="3"/>
        <v>632013.92762560002</v>
      </c>
      <c r="L19" s="410">
        <f t="shared" si="3"/>
        <v>541065.98003240011</v>
      </c>
      <c r="M19" s="410">
        <f t="shared" si="3"/>
        <v>871156.98315049999</v>
      </c>
      <c r="N19" s="410">
        <f t="shared" si="3"/>
        <v>633911.55133490008</v>
      </c>
      <c r="O19" s="410">
        <f t="shared" si="3"/>
        <v>921310.49055590003</v>
      </c>
      <c r="P19" s="411">
        <f t="shared" si="3"/>
        <v>0</v>
      </c>
      <c r="R19" s="436">
        <f>'County One Time Input-GROWTH'!C28</f>
        <v>5.5190000000000003E-2</v>
      </c>
      <c r="S19" s="420">
        <f>S17*$B19</f>
        <v>0</v>
      </c>
    </row>
    <row r="20" spans="1:19" ht="14.65" thickBot="1" x14ac:dyDescent="0.5">
      <c r="A20" s="476" t="s">
        <v>91</v>
      </c>
      <c r="B20" s="497">
        <f>SUM(B14:B17)</f>
        <v>1</v>
      </c>
      <c r="C20" s="502">
        <f>SUM(C14:C17)</f>
        <v>1977362169.0525</v>
      </c>
      <c r="D20" s="123">
        <f t="shared" si="1"/>
        <v>1895289943.5700002</v>
      </c>
      <c r="E20" s="53">
        <f t="shared" ref="E20:P20" si="4">SUM(E14:E17)</f>
        <v>152235517.66</v>
      </c>
      <c r="F20" s="53">
        <f t="shared" si="4"/>
        <v>152455701.55000001</v>
      </c>
      <c r="G20" s="53">
        <f t="shared" si="4"/>
        <v>199090827.66000003</v>
      </c>
      <c r="H20" s="53">
        <f t="shared" si="4"/>
        <v>151676287.06999999</v>
      </c>
      <c r="I20" s="53">
        <f t="shared" si="4"/>
        <v>159715248.33000001</v>
      </c>
      <c r="J20" s="53">
        <f t="shared" si="4"/>
        <v>235655458.25999999</v>
      </c>
      <c r="K20" s="53">
        <f t="shared" si="4"/>
        <v>148275355.24000001</v>
      </c>
      <c r="L20" s="53">
        <f t="shared" si="4"/>
        <v>126938263.38</v>
      </c>
      <c r="M20" s="53">
        <f t="shared" si="4"/>
        <v>204380165.63</v>
      </c>
      <c r="N20" s="53">
        <f t="shared" si="4"/>
        <v>148720552.5</v>
      </c>
      <c r="O20" s="53">
        <f t="shared" si="4"/>
        <v>216146566.28999996</v>
      </c>
      <c r="P20" s="54">
        <f t="shared" si="4"/>
        <v>0</v>
      </c>
      <c r="R20" s="433"/>
      <c r="S20" s="432">
        <f>SUM(S14:S17)</f>
        <v>0</v>
      </c>
    </row>
    <row r="21" spans="1:19" ht="14.65" thickBot="1" x14ac:dyDescent="0.5">
      <c r="A21" s="477"/>
      <c r="B21" s="499"/>
      <c r="C21" s="500"/>
      <c r="D21" s="127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S21" s="110"/>
    </row>
    <row r="22" spans="1:19" ht="14.65" thickBot="1" x14ac:dyDescent="0.5">
      <c r="A22" s="357" t="s">
        <v>92</v>
      </c>
      <c r="B22" s="497"/>
      <c r="C22" s="498">
        <f t="shared" ref="C22:P22" si="5">+C8+C20</f>
        <v>5569112295.64855</v>
      </c>
      <c r="D22" s="123">
        <f t="shared" si="5"/>
        <v>5337957757.96</v>
      </c>
      <c r="E22" s="53">
        <f t="shared" si="5"/>
        <v>428761185.19999993</v>
      </c>
      <c r="F22" s="53">
        <f t="shared" si="5"/>
        <v>429381318.45999998</v>
      </c>
      <c r="G22" s="53">
        <f t="shared" si="5"/>
        <v>560726041.76999998</v>
      </c>
      <c r="H22" s="53">
        <f t="shared" si="5"/>
        <v>427186149.54999995</v>
      </c>
      <c r="I22" s="53">
        <f t="shared" si="5"/>
        <v>449827347.94000006</v>
      </c>
      <c r="J22" s="53">
        <f t="shared" si="5"/>
        <v>663707885.89999998</v>
      </c>
      <c r="K22" s="53">
        <f t="shared" si="5"/>
        <v>417607651.81</v>
      </c>
      <c r="L22" s="53">
        <f t="shared" si="5"/>
        <v>357513155.23000002</v>
      </c>
      <c r="M22" s="53">
        <f t="shared" si="5"/>
        <v>575623109.48000002</v>
      </c>
      <c r="N22" s="53">
        <f t="shared" si="5"/>
        <v>418861520.20999998</v>
      </c>
      <c r="O22" s="53">
        <f t="shared" si="5"/>
        <v>608762392.40999985</v>
      </c>
      <c r="P22" s="54">
        <f t="shared" si="5"/>
        <v>0</v>
      </c>
      <c r="S22" s="383">
        <f>+S8+S20</f>
        <v>0</v>
      </c>
    </row>
    <row r="23" spans="1:19" x14ac:dyDescent="0.45">
      <c r="A23" s="477"/>
      <c r="B23" s="499"/>
      <c r="C23" s="500"/>
      <c r="D23" s="127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S23" s="110"/>
    </row>
    <row r="24" spans="1:19" x14ac:dyDescent="0.45">
      <c r="A24" s="477"/>
      <c r="B24" s="499"/>
      <c r="C24" s="500"/>
      <c r="D24" s="127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S24" s="110"/>
    </row>
    <row r="25" spans="1:19" x14ac:dyDescent="0.45">
      <c r="B25" s="84"/>
      <c r="C25" s="84"/>
      <c r="D25" s="61" t="s">
        <v>46</v>
      </c>
    </row>
    <row r="26" spans="1:19" x14ac:dyDescent="0.45">
      <c r="A26" s="479" t="s">
        <v>25</v>
      </c>
      <c r="B26" s="479"/>
      <c r="C26" s="479"/>
      <c r="D26" s="37" t="s">
        <v>110</v>
      </c>
      <c r="E26" s="18">
        <v>7.0381439004898169E-2</v>
      </c>
      <c r="F26" s="18">
        <v>7.9794271636124153E-2</v>
      </c>
      <c r="G26" s="18">
        <v>9.3759983318815091E-2</v>
      </c>
      <c r="H26" s="18">
        <v>7.3853834331441034E-2</v>
      </c>
      <c r="I26" s="18">
        <v>7.4026210581727564E-2</v>
      </c>
      <c r="J26" s="18">
        <v>0.11192465242552883</v>
      </c>
      <c r="K26" s="18">
        <v>6.9930313952156389E-2</v>
      </c>
      <c r="L26" s="18">
        <v>6.778651837346672E-2</v>
      </c>
      <c r="M26" s="18">
        <v>9.8403283619687615E-2</v>
      </c>
      <c r="N26" s="18">
        <v>7.7157246825014708E-2</v>
      </c>
      <c r="O26" s="18">
        <v>0.10192457401839608</v>
      </c>
      <c r="P26" s="20">
        <v>8.1057671912743712E-2</v>
      </c>
      <c r="S26" s="384"/>
    </row>
    <row r="27" spans="1:19" x14ac:dyDescent="0.45">
      <c r="A27" s="479" t="s">
        <v>26</v>
      </c>
      <c r="B27" s="479"/>
      <c r="C27" s="479"/>
      <c r="D27" s="37" t="s">
        <v>27</v>
      </c>
      <c r="E27" s="38">
        <f>+E26</f>
        <v>7.0381439004898169E-2</v>
      </c>
      <c r="F27" s="38">
        <f t="shared" ref="F27:O27" si="6">+E27+F26</f>
        <v>0.15017571064102231</v>
      </c>
      <c r="G27" s="38">
        <f t="shared" si="6"/>
        <v>0.24393569395983739</v>
      </c>
      <c r="H27" s="38">
        <f t="shared" si="6"/>
        <v>0.31778952829127843</v>
      </c>
      <c r="I27" s="38">
        <f t="shared" si="6"/>
        <v>0.39181573887300603</v>
      </c>
      <c r="J27" s="38">
        <f t="shared" si="6"/>
        <v>0.50374039129853487</v>
      </c>
      <c r="K27" s="38">
        <f t="shared" si="6"/>
        <v>0.5736707052506913</v>
      </c>
      <c r="L27" s="38">
        <f t="shared" si="6"/>
        <v>0.64145722362415802</v>
      </c>
      <c r="M27" s="38">
        <f t="shared" si="6"/>
        <v>0.73986050724384567</v>
      </c>
      <c r="N27" s="38">
        <f t="shared" si="6"/>
        <v>0.81701775406886035</v>
      </c>
      <c r="O27" s="38">
        <f t="shared" si="6"/>
        <v>0.9189423280872564</v>
      </c>
      <c r="P27" s="38">
        <f>+O27+P26</f>
        <v>1</v>
      </c>
      <c r="S27" s="385"/>
    </row>
    <row r="28" spans="1:19" x14ac:dyDescent="0.45">
      <c r="B28" s="84"/>
      <c r="C28" s="84"/>
      <c r="E28" s="104"/>
      <c r="R28" s="564"/>
      <c r="S28" s="565"/>
    </row>
    <row r="29" spans="1:19" x14ac:dyDescent="0.45">
      <c r="B29" s="84"/>
      <c r="C29" s="60"/>
      <c r="R29" s="564" t="str">
        <f>'County One Time Input-GROWTH'!B35</f>
        <v>PROTECTIVE SERVICES 90%</v>
      </c>
      <c r="S29" s="566">
        <f>S$1*R$2*'County One Time Input-GROWTH'!C10*0.9</f>
        <v>0</v>
      </c>
    </row>
    <row r="30" spans="1:19" x14ac:dyDescent="0.45">
      <c r="R30" s="564" t="str">
        <f>'County One Time Input-GROWTH'!B36</f>
        <v>PROTECTIVE SERVICES 10%</v>
      </c>
      <c r="S30" s="566">
        <f>S$1*R$2*'County One Time Input-GROWTH'!C10*0.1</f>
        <v>0</v>
      </c>
    </row>
    <row r="31" spans="1:19" x14ac:dyDescent="0.45">
      <c r="A31" s="84" t="s">
        <v>40</v>
      </c>
      <c r="B31" s="84"/>
      <c r="C31" s="503">
        <f>C5</f>
        <v>2258027908.91605</v>
      </c>
      <c r="D31" s="39"/>
      <c r="R31" s="564">
        <f>'County One Time Input-GROWTH'!B37</f>
        <v>0</v>
      </c>
      <c r="S31" s="566">
        <f>S1*R2*'County One Time Input-GROWTH'!C13</f>
        <v>0</v>
      </c>
    </row>
    <row r="32" spans="1:19" ht="22.5" customHeight="1" thickBot="1" x14ac:dyDescent="0.5">
      <c r="B32" s="84"/>
      <c r="C32" s="84"/>
    </row>
    <row r="33" spans="1:20" ht="43.15" thickBot="1" x14ac:dyDescent="0.5">
      <c r="A33" s="480" t="s">
        <v>37</v>
      </c>
      <c r="B33" s="504" t="s">
        <v>284</v>
      </c>
      <c r="C33" s="504" t="s">
        <v>39</v>
      </c>
      <c r="D33" s="57" t="str">
        <f>D3</f>
        <v>RECEIPTS THROUGH JULY</v>
      </c>
      <c r="E33" s="27" t="s">
        <v>7</v>
      </c>
      <c r="F33" s="27" t="s">
        <v>8</v>
      </c>
      <c r="G33" s="27" t="s">
        <v>9</v>
      </c>
      <c r="H33" s="27" t="s">
        <v>10</v>
      </c>
      <c r="I33" s="27" t="s">
        <v>11</v>
      </c>
      <c r="J33" s="27" t="s">
        <v>12</v>
      </c>
      <c r="K33" s="27" t="s">
        <v>13</v>
      </c>
      <c r="L33" s="27" t="s">
        <v>14</v>
      </c>
      <c r="M33" s="27" t="s">
        <v>15</v>
      </c>
      <c r="N33" s="27" t="s">
        <v>16</v>
      </c>
      <c r="O33" s="27" t="s">
        <v>17</v>
      </c>
      <c r="P33" s="28" t="s">
        <v>18</v>
      </c>
      <c r="R33" s="613" t="s">
        <v>281</v>
      </c>
      <c r="S33" s="613" t="s">
        <v>282</v>
      </c>
      <c r="T33" s="615" t="s">
        <v>283</v>
      </c>
    </row>
    <row r="34" spans="1:20" ht="6" customHeight="1" thickBot="1" x14ac:dyDescent="0.5">
      <c r="A34" s="481"/>
      <c r="B34" s="505"/>
      <c r="C34" s="505"/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3"/>
      <c r="R34" s="382"/>
      <c r="S34" s="387"/>
      <c r="T34" s="616"/>
    </row>
    <row r="35" spans="1:20" x14ac:dyDescent="0.45">
      <c r="A35" s="482" t="s">
        <v>32</v>
      </c>
      <c r="B35" s="506">
        <f>'County One Time Input-BASE'!B43</f>
        <v>0.21067117824181297</v>
      </c>
      <c r="C35" s="507">
        <f t="shared" ref="C35:C40" si="7">$C$5*$B35</f>
        <v>475701400.0742414</v>
      </c>
      <c r="D35" s="254">
        <f>SUM(E35:P35)+S35</f>
        <v>455956772.38999999</v>
      </c>
      <c r="E35" s="255">
        <f t="shared" ref="E35:P40" si="8">ROUND(E$5*$B35,2)</f>
        <v>36623850.350000001</v>
      </c>
      <c r="F35" s="255">
        <f t="shared" si="8"/>
        <v>36676820.789999999</v>
      </c>
      <c r="G35" s="255">
        <f t="shared" si="8"/>
        <v>47896002.140000001</v>
      </c>
      <c r="H35" s="255">
        <f t="shared" si="8"/>
        <v>36489314.229999997</v>
      </c>
      <c r="I35" s="255">
        <f t="shared" si="8"/>
        <v>38423276.280000001</v>
      </c>
      <c r="J35" s="255">
        <f t="shared" si="8"/>
        <v>56692487.869999997</v>
      </c>
      <c r="K35" s="255">
        <f t="shared" si="8"/>
        <v>35671139.729999997</v>
      </c>
      <c r="L35" s="255">
        <f t="shared" si="8"/>
        <v>30537998.190000001</v>
      </c>
      <c r="M35" s="255">
        <f t="shared" si="8"/>
        <v>49168477.350000001</v>
      </c>
      <c r="N35" s="255">
        <f t="shared" si="8"/>
        <v>35778242.450000003</v>
      </c>
      <c r="O35" s="255">
        <f t="shared" si="8"/>
        <v>51999163.009999998</v>
      </c>
      <c r="P35" s="256">
        <f t="shared" si="8"/>
        <v>0</v>
      </c>
      <c r="R35" s="569">
        <f>'County One Time Input-GROWTH'!B40</f>
        <v>0.21389723467194116</v>
      </c>
      <c r="S35" s="256">
        <f>S$29*R35</f>
        <v>0</v>
      </c>
      <c r="T35" s="617" t="e">
        <f>S35/S$65</f>
        <v>#DIV/0!</v>
      </c>
    </row>
    <row r="36" spans="1:20" x14ac:dyDescent="0.45">
      <c r="A36" s="483" t="s">
        <v>33</v>
      </c>
      <c r="B36" s="508">
        <f>'County One Time Input-BASE'!B44</f>
        <v>0.21629628513883875</v>
      </c>
      <c r="C36" s="509">
        <f t="shared" si="7"/>
        <v>488403048.43836176</v>
      </c>
      <c r="D36" s="259">
        <f t="shared" ref="D36:D64" si="9">SUM(E36:P36)+S36</f>
        <v>468131221.72999996</v>
      </c>
      <c r="E36" s="260">
        <f t="shared" si="8"/>
        <v>37601739.57</v>
      </c>
      <c r="F36" s="260">
        <f t="shared" si="8"/>
        <v>37656124.369999997</v>
      </c>
      <c r="G36" s="260">
        <f t="shared" si="8"/>
        <v>49174867.780000001</v>
      </c>
      <c r="H36" s="260">
        <f t="shared" si="8"/>
        <v>37463611.210000001</v>
      </c>
      <c r="I36" s="260">
        <f t="shared" si="8"/>
        <v>39449211.759999998</v>
      </c>
      <c r="J36" s="260">
        <f t="shared" si="8"/>
        <v>58206227.469999999</v>
      </c>
      <c r="K36" s="260">
        <f t="shared" si="8"/>
        <v>36623590.729999997</v>
      </c>
      <c r="L36" s="260">
        <f t="shared" si="8"/>
        <v>31353389.77</v>
      </c>
      <c r="M36" s="260">
        <f t="shared" si="8"/>
        <v>50481319.210000001</v>
      </c>
      <c r="N36" s="260">
        <f t="shared" si="8"/>
        <v>36733553.18</v>
      </c>
      <c r="O36" s="260">
        <f t="shared" si="8"/>
        <v>53387586.68</v>
      </c>
      <c r="P36" s="261">
        <f t="shared" si="8"/>
        <v>0</v>
      </c>
      <c r="R36" s="570">
        <f>'County One Time Input-GROWTH'!B41</f>
        <v>0.21960848013061907</v>
      </c>
      <c r="S36" s="261">
        <f>S$29*R36</f>
        <v>0</v>
      </c>
      <c r="T36" s="617" t="e">
        <f t="shared" ref="T36:T57" si="10">S36/S$65</f>
        <v>#DIV/0!</v>
      </c>
    </row>
    <row r="37" spans="1:20" x14ac:dyDescent="0.45">
      <c r="A37" s="483" t="s">
        <v>34</v>
      </c>
      <c r="B37" s="508">
        <f>'County One Time Input-BASE'!B45</f>
        <v>3.1472832892172307E-2</v>
      </c>
      <c r="C37" s="509">
        <f t="shared" si="7"/>
        <v>71066535.043176115</v>
      </c>
      <c r="D37" s="259">
        <f t="shared" si="9"/>
        <v>68116822.719999999</v>
      </c>
      <c r="E37" s="260">
        <f t="shared" si="8"/>
        <v>5471352.71</v>
      </c>
      <c r="F37" s="260">
        <f t="shared" si="8"/>
        <v>5479266.1299999999</v>
      </c>
      <c r="G37" s="260">
        <f t="shared" si="8"/>
        <v>7155335.0800000001</v>
      </c>
      <c r="H37" s="260">
        <f t="shared" si="8"/>
        <v>5451253.9299999997</v>
      </c>
      <c r="I37" s="260">
        <f t="shared" si="8"/>
        <v>5740174.6299999999</v>
      </c>
      <c r="J37" s="260">
        <f t="shared" si="8"/>
        <v>8469469.8699999992</v>
      </c>
      <c r="K37" s="260">
        <f t="shared" si="8"/>
        <v>5329024.26</v>
      </c>
      <c r="L37" s="260">
        <f t="shared" si="8"/>
        <v>4562168.03</v>
      </c>
      <c r="M37" s="260">
        <f t="shared" si="8"/>
        <v>7345434.1699999999</v>
      </c>
      <c r="N37" s="260">
        <f t="shared" si="8"/>
        <v>5345024.67</v>
      </c>
      <c r="O37" s="260">
        <f t="shared" si="8"/>
        <v>7768319.2400000002</v>
      </c>
      <c r="P37" s="261">
        <f t="shared" si="8"/>
        <v>0</v>
      </c>
      <c r="R37" s="570">
        <f>'County One Time Input-GROWTH'!B42</f>
        <v>3.1954783654367221E-2</v>
      </c>
      <c r="S37" s="261">
        <f>S$29*R37</f>
        <v>0</v>
      </c>
      <c r="T37" s="617" t="e">
        <f t="shared" si="10"/>
        <v>#DIV/0!</v>
      </c>
    </row>
    <row r="38" spans="1:20" x14ac:dyDescent="0.45">
      <c r="A38" s="483" t="s">
        <v>35</v>
      </c>
      <c r="B38" s="508">
        <f>'County One Time Input-BASE'!B46</f>
        <v>7.4758995054469476E-3</v>
      </c>
      <c r="C38" s="509">
        <f t="shared" si="7"/>
        <v>16880789.727550901</v>
      </c>
      <c r="D38" s="259">
        <f t="shared" si="9"/>
        <v>16180129.809999999</v>
      </c>
      <c r="E38" s="260">
        <f t="shared" si="8"/>
        <v>1299637.79</v>
      </c>
      <c r="F38" s="260">
        <f t="shared" si="8"/>
        <v>1301517.51</v>
      </c>
      <c r="G38" s="260">
        <f t="shared" si="8"/>
        <v>1699642.55</v>
      </c>
      <c r="H38" s="260">
        <f t="shared" si="8"/>
        <v>1294863.6299999999</v>
      </c>
      <c r="I38" s="260">
        <f t="shared" si="8"/>
        <v>1363492.41</v>
      </c>
      <c r="J38" s="260">
        <f t="shared" si="8"/>
        <v>2011795.57</v>
      </c>
      <c r="K38" s="260">
        <f t="shared" si="8"/>
        <v>1265829.8</v>
      </c>
      <c r="L38" s="260">
        <f t="shared" si="8"/>
        <v>1083674.6000000001</v>
      </c>
      <c r="M38" s="260">
        <f t="shared" si="8"/>
        <v>1744797.74</v>
      </c>
      <c r="N38" s="260">
        <f t="shared" si="8"/>
        <v>1269630.46</v>
      </c>
      <c r="O38" s="260">
        <f t="shared" si="8"/>
        <v>1845247.75</v>
      </c>
      <c r="P38" s="261">
        <f t="shared" si="8"/>
        <v>0</v>
      </c>
      <c r="R38" s="570">
        <f>'County One Time Input-GROWTH'!B43</f>
        <v>7.5903796819562211E-3</v>
      </c>
      <c r="S38" s="261">
        <f>S$29*R38</f>
        <v>0</v>
      </c>
      <c r="T38" s="617" t="e">
        <f t="shared" si="10"/>
        <v>#DIV/0!</v>
      </c>
    </row>
    <row r="39" spans="1:20" x14ac:dyDescent="0.45">
      <c r="A39" s="483" t="s">
        <v>30</v>
      </c>
      <c r="B39" s="508">
        <f>'County One Time Input-BASE'!B47</f>
        <v>3.0451166570903559E-2</v>
      </c>
      <c r="C39" s="509">
        <f t="shared" si="7"/>
        <v>68759583.97615169</v>
      </c>
      <c r="D39" s="259">
        <f t="shared" si="9"/>
        <v>65905624.779999994</v>
      </c>
      <c r="E39" s="260">
        <f t="shared" si="8"/>
        <v>5293742.49</v>
      </c>
      <c r="F39" s="260">
        <f t="shared" si="8"/>
        <v>5301399.03</v>
      </c>
      <c r="G39" s="260">
        <f t="shared" si="8"/>
        <v>6923059.6799999997</v>
      </c>
      <c r="H39" s="260">
        <f t="shared" si="8"/>
        <v>5274296.16</v>
      </c>
      <c r="I39" s="260">
        <f t="shared" si="8"/>
        <v>5553837.96</v>
      </c>
      <c r="J39" s="260">
        <f t="shared" si="8"/>
        <v>8194535.2300000004</v>
      </c>
      <c r="K39" s="260">
        <f t="shared" si="8"/>
        <v>5156034.28</v>
      </c>
      <c r="L39" s="260">
        <f t="shared" si="8"/>
        <v>4414071.62</v>
      </c>
      <c r="M39" s="260">
        <f t="shared" si="8"/>
        <v>7106987.7999999998</v>
      </c>
      <c r="N39" s="260">
        <f t="shared" si="8"/>
        <v>5171515.29</v>
      </c>
      <c r="O39" s="260">
        <f t="shared" si="8"/>
        <v>7516145.2400000002</v>
      </c>
      <c r="P39" s="261">
        <f t="shared" si="8"/>
        <v>0</v>
      </c>
      <c r="R39" s="570">
        <f>'County One Time Input-GROWTH'!B44</f>
        <v>3.0917472320654525E-2</v>
      </c>
      <c r="S39" s="261">
        <f>S$29*R39</f>
        <v>0</v>
      </c>
      <c r="T39" s="617" t="e">
        <f t="shared" si="10"/>
        <v>#DIV/0!</v>
      </c>
    </row>
    <row r="40" spans="1:20" x14ac:dyDescent="0.45">
      <c r="A40" s="483" t="s">
        <v>36</v>
      </c>
      <c r="B40" s="508">
        <f>'County One Time Input-BASE'!B48</f>
        <v>0.446164429087337</v>
      </c>
      <c r="C40" s="509">
        <f t="shared" si="7"/>
        <v>1007451732.8448029</v>
      </c>
      <c r="D40" s="259">
        <f t="shared" si="9"/>
        <v>965636091.00000012</v>
      </c>
      <c r="E40" s="260">
        <f t="shared" si="8"/>
        <v>77562860.859999999</v>
      </c>
      <c r="F40" s="260">
        <f t="shared" si="8"/>
        <v>77675042.909999996</v>
      </c>
      <c r="G40" s="260">
        <f t="shared" si="8"/>
        <v>101435291.86</v>
      </c>
      <c r="H40" s="260">
        <f t="shared" si="8"/>
        <v>77277937.049999997</v>
      </c>
      <c r="I40" s="260">
        <f t="shared" si="8"/>
        <v>81373727.849999994</v>
      </c>
      <c r="J40" s="260">
        <f t="shared" si="8"/>
        <v>120064698.44</v>
      </c>
      <c r="K40" s="260">
        <f t="shared" si="8"/>
        <v>75545187.650000006</v>
      </c>
      <c r="L40" s="260">
        <f t="shared" si="8"/>
        <v>64674098.469999999</v>
      </c>
      <c r="M40" s="260">
        <f t="shared" si="8"/>
        <v>104130170.09999999</v>
      </c>
      <c r="N40" s="260">
        <f t="shared" si="8"/>
        <v>75772012.329999998</v>
      </c>
      <c r="O40" s="260">
        <f t="shared" si="8"/>
        <v>110125063.48</v>
      </c>
      <c r="P40" s="261">
        <f t="shared" si="8"/>
        <v>0</v>
      </c>
      <c r="R40" s="570">
        <f>'County One Time Input-GROWTH'!B45</f>
        <v>0.45299664808076551</v>
      </c>
      <c r="S40" s="261">
        <f>(S$29*R40)+S30+S31</f>
        <v>0</v>
      </c>
      <c r="T40" s="617" t="e">
        <f t="shared" si="10"/>
        <v>#DIV/0!</v>
      </c>
    </row>
    <row r="41" spans="1:20" hidden="1" outlineLevel="1" x14ac:dyDescent="0.45">
      <c r="A41" s="484"/>
      <c r="B41" s="510" t="s">
        <v>73</v>
      </c>
      <c r="C41" s="511"/>
      <c r="D41" s="265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7"/>
      <c r="R41" s="571"/>
      <c r="S41" s="267"/>
      <c r="T41" s="617" t="e">
        <f t="shared" si="10"/>
        <v>#DIV/0!</v>
      </c>
    </row>
    <row r="42" spans="1:20" hidden="1" outlineLevel="1" x14ac:dyDescent="0.45">
      <c r="A42" s="485" t="s">
        <v>48</v>
      </c>
      <c r="B42" s="512">
        <v>1.301963920094115E-3</v>
      </c>
      <c r="C42" s="511">
        <f>$C$40*B42</f>
        <v>1311665.8074002287</v>
      </c>
      <c r="D42" s="265">
        <f t="shared" si="9"/>
        <v>1257223.3504227174</v>
      </c>
      <c r="E42" s="266">
        <f>+E$40*$B42</f>
        <v>100984.04637899999</v>
      </c>
      <c r="F42" s="266">
        <f t="shared" ref="F42:P54" si="11">+F$40*$B42</f>
        <v>101130.10336058219</v>
      </c>
      <c r="G42" s="266">
        <f t="shared" si="11"/>
        <v>132065.09022593626</v>
      </c>
      <c r="H42" s="266">
        <f t="shared" si="11"/>
        <v>100613.08585840424</v>
      </c>
      <c r="I42" s="266">
        <f t="shared" si="11"/>
        <v>105945.65770425765</v>
      </c>
      <c r="J42" s="266">
        <f t="shared" si="11"/>
        <v>156319.90544586017</v>
      </c>
      <c r="K42" s="266">
        <f t="shared" si="11"/>
        <v>98357.108657039527</v>
      </c>
      <c r="L42" s="266">
        <f t="shared" si="11"/>
        <v>84203.34277255401</v>
      </c>
      <c r="M42" s="266">
        <f t="shared" si="11"/>
        <v>135573.724463463</v>
      </c>
      <c r="N42" s="266">
        <f t="shared" si="11"/>
        <v>98652.426206586417</v>
      </c>
      <c r="O42" s="266">
        <f t="shared" si="11"/>
        <v>143378.85934903406</v>
      </c>
      <c r="P42" s="267">
        <f t="shared" si="11"/>
        <v>0</v>
      </c>
      <c r="R42" s="572"/>
      <c r="S42" s="267">
        <f>(S$29*R$40)*B42</f>
        <v>0</v>
      </c>
      <c r="T42" s="617" t="e">
        <f t="shared" si="10"/>
        <v>#DIV/0!</v>
      </c>
    </row>
    <row r="43" spans="1:20" hidden="1" outlineLevel="1" x14ac:dyDescent="0.45">
      <c r="A43" s="485" t="s">
        <v>49</v>
      </c>
      <c r="B43" s="512">
        <v>6.9073595492869606E-3</v>
      </c>
      <c r="C43" s="511">
        <f t="shared" ref="C43:C54" si="12">$C$40*B43</f>
        <v>6958831.3473112453</v>
      </c>
      <c r="D43" s="265">
        <f t="shared" si="9"/>
        <v>6669995.6743049826</v>
      </c>
      <c r="E43" s="266">
        <f t="shared" ref="E43:E54" si="13">+E$40*$B43</f>
        <v>535754.56763133686</v>
      </c>
      <c r="F43" s="266">
        <f t="shared" si="11"/>
        <v>536529.44938566291</v>
      </c>
      <c r="G43" s="266">
        <f t="shared" si="11"/>
        <v>700650.03186388093</v>
      </c>
      <c r="H43" s="266">
        <f t="shared" si="11"/>
        <v>533786.49643151404</v>
      </c>
      <c r="I43" s="266">
        <f t="shared" si="11"/>
        <v>562077.59612577572</v>
      </c>
      <c r="J43" s="266">
        <f t="shared" si="11"/>
        <v>829330.04130179319</v>
      </c>
      <c r="K43" s="266">
        <f t="shared" si="11"/>
        <v>521817.77331690292</v>
      </c>
      <c r="L43" s="266">
        <f t="shared" si="11"/>
        <v>446727.25165827968</v>
      </c>
      <c r="M43" s="266">
        <f t="shared" si="11"/>
        <v>719264.52480911044</v>
      </c>
      <c r="N43" s="266">
        <f t="shared" si="11"/>
        <v>523384.53293631482</v>
      </c>
      <c r="O43" s="266">
        <f t="shared" si="11"/>
        <v>760673.40884441079</v>
      </c>
      <c r="P43" s="267">
        <f t="shared" si="11"/>
        <v>0</v>
      </c>
      <c r="R43" s="572"/>
      <c r="S43" s="267">
        <f t="shared" ref="S43:S53" si="14">(S$29*R$40)*B43</f>
        <v>0</v>
      </c>
      <c r="T43" s="617" t="e">
        <f t="shared" si="10"/>
        <v>#DIV/0!</v>
      </c>
    </row>
    <row r="44" spans="1:20" hidden="1" outlineLevel="1" x14ac:dyDescent="0.45">
      <c r="A44" s="485" t="s">
        <v>50</v>
      </c>
      <c r="B44" s="512">
        <v>7.7428019311203949E-3</v>
      </c>
      <c r="C44" s="511">
        <f t="shared" si="12"/>
        <v>7800499.2225813279</v>
      </c>
      <c r="D44" s="265">
        <f t="shared" si="9"/>
        <v>7476728.9901543483</v>
      </c>
      <c r="E44" s="266">
        <f t="shared" si="13"/>
        <v>600553.86885003047</v>
      </c>
      <c r="F44" s="266">
        <f t="shared" si="11"/>
        <v>601422.47224340751</v>
      </c>
      <c r="G44" s="266">
        <f t="shared" si="11"/>
        <v>785393.37369736889</v>
      </c>
      <c r="H44" s="266">
        <f t="shared" si="11"/>
        <v>598347.76022374025</v>
      </c>
      <c r="I44" s="266">
        <f t="shared" si="11"/>
        <v>630060.65713944542</v>
      </c>
      <c r="J44" s="266">
        <f t="shared" si="11"/>
        <v>929637.17894061981</v>
      </c>
      <c r="K44" s="266">
        <f t="shared" si="11"/>
        <v>584931.42482327262</v>
      </c>
      <c r="L44" s="266">
        <f t="shared" si="11"/>
        <v>500758.73452698655</v>
      </c>
      <c r="M44" s="266">
        <f t="shared" si="11"/>
        <v>806259.2821381751</v>
      </c>
      <c r="N44" s="266">
        <f t="shared" si="11"/>
        <v>586687.68339360238</v>
      </c>
      <c r="O44" s="266">
        <f t="shared" si="11"/>
        <v>852676.55417770008</v>
      </c>
      <c r="P44" s="267">
        <f t="shared" si="11"/>
        <v>0</v>
      </c>
      <c r="R44" s="572"/>
      <c r="S44" s="267">
        <f t="shared" si="14"/>
        <v>0</v>
      </c>
      <c r="T44" s="617" t="e">
        <f t="shared" si="10"/>
        <v>#DIV/0!</v>
      </c>
    </row>
    <row r="45" spans="1:20" hidden="1" outlineLevel="1" x14ac:dyDescent="0.45">
      <c r="A45" s="485" t="s">
        <v>51</v>
      </c>
      <c r="B45" s="512">
        <v>1.2047870516211284E-2</v>
      </c>
      <c r="C45" s="511">
        <f t="shared" si="12"/>
        <v>12137648.028646868</v>
      </c>
      <c r="D45" s="265">
        <f t="shared" si="9"/>
        <v>11633858.590148417</v>
      </c>
      <c r="E45" s="266">
        <f t="shared" si="13"/>
        <v>934467.30450819223</v>
      </c>
      <c r="F45" s="266">
        <f t="shared" si="11"/>
        <v>935818.85932083533</v>
      </c>
      <c r="G45" s="266">
        <f t="shared" si="11"/>
        <v>1222079.2621033804</v>
      </c>
      <c r="H45" s="266">
        <f t="shared" si="11"/>
        <v>931034.57933832658</v>
      </c>
      <c r="I45" s="266">
        <f t="shared" si="11"/>
        <v>980380.13655821595</v>
      </c>
      <c r="J45" s="266">
        <f t="shared" si="11"/>
        <v>1446523.940373075</v>
      </c>
      <c r="K45" s="266">
        <f t="shared" si="11"/>
        <v>910158.63893008395</v>
      </c>
      <c r="L45" s="266">
        <f t="shared" si="11"/>
        <v>779185.16411925829</v>
      </c>
      <c r="M45" s="266">
        <f t="shared" si="11"/>
        <v>1254546.8061958558</v>
      </c>
      <c r="N45" s="266">
        <f t="shared" si="11"/>
        <v>912891.39330460492</v>
      </c>
      <c r="O45" s="266">
        <f t="shared" si="11"/>
        <v>1326772.505396588</v>
      </c>
      <c r="P45" s="267">
        <f t="shared" si="11"/>
        <v>0</v>
      </c>
      <c r="R45" s="572"/>
      <c r="S45" s="267">
        <f t="shared" si="14"/>
        <v>0</v>
      </c>
      <c r="T45" s="617" t="e">
        <f t="shared" si="10"/>
        <v>#DIV/0!</v>
      </c>
    </row>
    <row r="46" spans="1:20" hidden="1" outlineLevel="1" x14ac:dyDescent="0.45">
      <c r="A46" s="485" t="s">
        <v>52</v>
      </c>
      <c r="B46" s="512">
        <v>9.1030724579284111E-4</v>
      </c>
      <c r="C46" s="511">
        <f t="shared" si="12"/>
        <v>917090.6121951777</v>
      </c>
      <c r="D46" s="265">
        <f t="shared" si="9"/>
        <v>879025.53043637518</v>
      </c>
      <c r="E46" s="266">
        <f t="shared" si="13"/>
        <v>70606.034245279952</v>
      </c>
      <c r="F46" s="266">
        <f t="shared" si="11"/>
        <v>70708.154378242849</v>
      </c>
      <c r="G46" s="266">
        <f t="shared" si="11"/>
        <v>92337.281159269594</v>
      </c>
      <c r="H46" s="266">
        <f t="shared" si="11"/>
        <v>70346.666036538052</v>
      </c>
      <c r="I46" s="266">
        <f t="shared" si="11"/>
        <v>74075.094079029703</v>
      </c>
      <c r="J46" s="266">
        <f t="shared" si="11"/>
        <v>109295.76495386442</v>
      </c>
      <c r="K46" s="266">
        <f t="shared" si="11"/>
        <v>68769.331702574855</v>
      </c>
      <c r="L46" s="266">
        <f t="shared" si="11"/>
        <v>58873.300452360701</v>
      </c>
      <c r="M46" s="266">
        <f t="shared" si="11"/>
        <v>94790.448347671045</v>
      </c>
      <c r="N46" s="266">
        <f t="shared" si="11"/>
        <v>68975.811852303494</v>
      </c>
      <c r="O46" s="266">
        <f t="shared" si="11"/>
        <v>100247.6432292406</v>
      </c>
      <c r="P46" s="267">
        <f t="shared" si="11"/>
        <v>0</v>
      </c>
      <c r="R46" s="572"/>
      <c r="S46" s="267">
        <f t="shared" si="14"/>
        <v>0</v>
      </c>
      <c r="T46" s="617" t="e">
        <f t="shared" si="10"/>
        <v>#DIV/0!</v>
      </c>
    </row>
    <row r="47" spans="1:20" hidden="1" outlineLevel="1" x14ac:dyDescent="0.45">
      <c r="A47" s="485" t="s">
        <v>53</v>
      </c>
      <c r="B47" s="512">
        <v>1.1451081310466672E-3</v>
      </c>
      <c r="C47" s="511">
        <f t="shared" si="12"/>
        <v>1153641.1709176383</v>
      </c>
      <c r="D47" s="265">
        <f t="shared" si="9"/>
        <v>1105757.7394362192</v>
      </c>
      <c r="E47" s="266">
        <f t="shared" si="13"/>
        <v>88817.862638027291</v>
      </c>
      <c r="F47" s="266">
        <f t="shared" si="11"/>
        <v>88946.323215639772</v>
      </c>
      <c r="G47" s="266">
        <f t="shared" si="11"/>
        <v>116154.37748397781</v>
      </c>
      <c r="H47" s="266">
        <f t="shared" si="11"/>
        <v>88491.594066467485</v>
      </c>
      <c r="I47" s="266">
        <f t="shared" si="11"/>
        <v>93181.717414613624</v>
      </c>
      <c r="J47" s="266">
        <f t="shared" si="11"/>
        <v>137487.0624353101</v>
      </c>
      <c r="K47" s="266">
        <f t="shared" si="11"/>
        <v>86507.408639461268</v>
      </c>
      <c r="L47" s="266">
        <f t="shared" si="11"/>
        <v>74058.836026109813</v>
      </c>
      <c r="M47" s="266">
        <f t="shared" si="11"/>
        <v>119240.30446878253</v>
      </c>
      <c r="N47" s="266">
        <f t="shared" si="11"/>
        <v>86767.147424851311</v>
      </c>
      <c r="O47" s="266">
        <f t="shared" si="11"/>
        <v>126105.10562297839</v>
      </c>
      <c r="P47" s="267">
        <f t="shared" si="11"/>
        <v>0</v>
      </c>
      <c r="R47" s="572"/>
      <c r="S47" s="267">
        <f t="shared" si="14"/>
        <v>0</v>
      </c>
      <c r="T47" s="617" t="e">
        <f t="shared" si="10"/>
        <v>#DIV/0!</v>
      </c>
    </row>
    <row r="48" spans="1:20" hidden="1" outlineLevel="1" x14ac:dyDescent="0.45">
      <c r="A48" s="485" t="s">
        <v>54</v>
      </c>
      <c r="B48" s="512">
        <v>0</v>
      </c>
      <c r="C48" s="511">
        <f t="shared" si="12"/>
        <v>0</v>
      </c>
      <c r="D48" s="265">
        <f t="shared" si="9"/>
        <v>0</v>
      </c>
      <c r="E48" s="266">
        <f t="shared" si="13"/>
        <v>0</v>
      </c>
      <c r="F48" s="266">
        <f t="shared" si="11"/>
        <v>0</v>
      </c>
      <c r="G48" s="266">
        <f t="shared" si="11"/>
        <v>0</v>
      </c>
      <c r="H48" s="266">
        <f t="shared" si="11"/>
        <v>0</v>
      </c>
      <c r="I48" s="266">
        <f t="shared" si="11"/>
        <v>0</v>
      </c>
      <c r="J48" s="266">
        <f t="shared" si="11"/>
        <v>0</v>
      </c>
      <c r="K48" s="266">
        <f t="shared" si="11"/>
        <v>0</v>
      </c>
      <c r="L48" s="266">
        <f t="shared" si="11"/>
        <v>0</v>
      </c>
      <c r="M48" s="266">
        <f t="shared" si="11"/>
        <v>0</v>
      </c>
      <c r="N48" s="266">
        <f t="shared" si="11"/>
        <v>0</v>
      </c>
      <c r="O48" s="266">
        <f t="shared" si="11"/>
        <v>0</v>
      </c>
      <c r="P48" s="267">
        <f t="shared" si="11"/>
        <v>0</v>
      </c>
      <c r="R48" s="572"/>
      <c r="S48" s="267">
        <f t="shared" si="14"/>
        <v>0</v>
      </c>
      <c r="T48" s="617" t="e">
        <f t="shared" si="10"/>
        <v>#DIV/0!</v>
      </c>
    </row>
    <row r="49" spans="1:20" hidden="1" outlineLevel="1" x14ac:dyDescent="0.45">
      <c r="A49" s="485" t="s">
        <v>55</v>
      </c>
      <c r="B49" s="512">
        <v>6.0332136383197593E-2</v>
      </c>
      <c r="C49" s="511">
        <f t="shared" si="12"/>
        <v>60781715.345481396</v>
      </c>
      <c r="D49" s="265">
        <f t="shared" si="9"/>
        <v>58258888.338749804</v>
      </c>
      <c r="E49" s="266">
        <f t="shared" si="13"/>
        <v>4679533.0996764982</v>
      </c>
      <c r="F49" s="266">
        <f t="shared" si="11"/>
        <v>4686301.2824168447</v>
      </c>
      <c r="G49" s="266">
        <f t="shared" si="11"/>
        <v>6119807.8625669731</v>
      </c>
      <c r="H49" s="266">
        <f t="shared" si="11"/>
        <v>4662343.0375127578</v>
      </c>
      <c r="I49" s="266">
        <f t="shared" si="11"/>
        <v>4909450.8466554042</v>
      </c>
      <c r="J49" s="266">
        <f t="shared" si="11"/>
        <v>7243759.7610895708</v>
      </c>
      <c r="K49" s="266">
        <f t="shared" si="11"/>
        <v>4557802.5643940549</v>
      </c>
      <c r="L49" s="266">
        <f t="shared" si="11"/>
        <v>3901926.5293523907</v>
      </c>
      <c r="M49" s="266">
        <f t="shared" si="11"/>
        <v>6282395.6240787636</v>
      </c>
      <c r="N49" s="266">
        <f t="shared" si="11"/>
        <v>4571487.3819228895</v>
      </c>
      <c r="O49" s="266">
        <f t="shared" si="11"/>
        <v>6644080.3490836527</v>
      </c>
      <c r="P49" s="267">
        <f t="shared" si="11"/>
        <v>0</v>
      </c>
      <c r="R49" s="572"/>
      <c r="S49" s="267">
        <f t="shared" si="14"/>
        <v>0</v>
      </c>
      <c r="T49" s="617" t="e">
        <f t="shared" si="10"/>
        <v>#DIV/0!</v>
      </c>
    </row>
    <row r="50" spans="1:20" hidden="1" outlineLevel="1" x14ac:dyDescent="0.45">
      <c r="A50" s="485" t="s">
        <v>56</v>
      </c>
      <c r="B50" s="512">
        <v>0.12894961720692658</v>
      </c>
      <c r="C50" s="511">
        <f t="shared" si="12"/>
        <v>129910515.30479218</v>
      </c>
      <c r="D50" s="265">
        <f t="shared" si="9"/>
        <v>124518404.29564293</v>
      </c>
      <c r="E50" s="266">
        <f t="shared" si="13"/>
        <v>10001701.217371108</v>
      </c>
      <c r="F50" s="266">
        <f t="shared" si="11"/>
        <v>10016167.049776096</v>
      </c>
      <c r="G50" s="266">
        <f t="shared" si="11"/>
        <v>13080042.056619875</v>
      </c>
      <c r="H50" s="266">
        <f t="shared" si="11"/>
        <v>9964960.4011384677</v>
      </c>
      <c r="I50" s="266">
        <f t="shared" si="11"/>
        <v>10493111.05695812</v>
      </c>
      <c r="J50" s="266">
        <f t="shared" si="11"/>
        <v>15482296.903903075</v>
      </c>
      <c r="K50" s="266">
        <f t="shared" si="11"/>
        <v>9741523.0292929374</v>
      </c>
      <c r="L50" s="266">
        <f t="shared" si="11"/>
        <v>8339700.2409095755</v>
      </c>
      <c r="M50" s="266">
        <f t="shared" si="11"/>
        <v>13427545.57408715</v>
      </c>
      <c r="N50" s="266">
        <f t="shared" si="11"/>
        <v>9770771.9849520195</v>
      </c>
      <c r="O50" s="266">
        <f t="shared" si="11"/>
        <v>14200584.780634491</v>
      </c>
      <c r="P50" s="267">
        <f t="shared" si="11"/>
        <v>0</v>
      </c>
      <c r="R50" s="572"/>
      <c r="S50" s="267">
        <f t="shared" si="14"/>
        <v>0</v>
      </c>
      <c r="T50" s="617" t="e">
        <f t="shared" si="10"/>
        <v>#DIV/0!</v>
      </c>
    </row>
    <row r="51" spans="1:20" hidden="1" outlineLevel="1" x14ac:dyDescent="0.45">
      <c r="A51" s="485" t="s">
        <v>57</v>
      </c>
      <c r="B51" s="512">
        <v>9.6349057544245812E-4</v>
      </c>
      <c r="C51" s="511">
        <f t="shared" si="12"/>
        <v>970670.24980914069</v>
      </c>
      <c r="D51" s="265">
        <f t="shared" si="9"/>
        <v>930381.27298559598</v>
      </c>
      <c r="E51" s="266">
        <f t="shared" si="13"/>
        <v>74731.085442964715</v>
      </c>
      <c r="F51" s="266">
        <f t="shared" si="11"/>
        <v>74839.17179087353</v>
      </c>
      <c r="G51" s="266">
        <f t="shared" si="11"/>
        <v>97731.947724365091</v>
      </c>
      <c r="H51" s="266">
        <f t="shared" si="11"/>
        <v>74456.564037310556</v>
      </c>
      <c r="I51" s="266">
        <f t="shared" si="11"/>
        <v>78402.819872094478</v>
      </c>
      <c r="J51" s="266">
        <f t="shared" si="11"/>
        <v>115681.2053902808</v>
      </c>
      <c r="K51" s="266">
        <f t="shared" si="11"/>
        <v>72787.076320806984</v>
      </c>
      <c r="L51" s="266">
        <f t="shared" si="11"/>
        <v>62312.884351082503</v>
      </c>
      <c r="M51" s="266">
        <f t="shared" si="11"/>
        <v>100328.43751057005</v>
      </c>
      <c r="N51" s="266">
        <f t="shared" si="11"/>
        <v>73005.619762264731</v>
      </c>
      <c r="O51" s="266">
        <f t="shared" si="11"/>
        <v>106104.46078298244</v>
      </c>
      <c r="P51" s="267">
        <f t="shared" si="11"/>
        <v>0</v>
      </c>
      <c r="R51" s="572"/>
      <c r="S51" s="267">
        <f t="shared" si="14"/>
        <v>0</v>
      </c>
      <c r="T51" s="617" t="e">
        <f t="shared" si="10"/>
        <v>#DIV/0!</v>
      </c>
    </row>
    <row r="52" spans="1:20" hidden="1" outlineLevel="1" x14ac:dyDescent="0.45">
      <c r="A52" s="485" t="s">
        <v>58</v>
      </c>
      <c r="B52" s="512">
        <v>1.2156359862052766E-2</v>
      </c>
      <c r="C52" s="511">
        <f t="shared" si="12"/>
        <v>12246945.808110068</v>
      </c>
      <c r="D52" s="265">
        <f t="shared" si="9"/>
        <v>11738619.817981932</v>
      </c>
      <c r="E52" s="266">
        <f t="shared" si="13"/>
        <v>942882.04854448745</v>
      </c>
      <c r="F52" s="266">
        <f t="shared" si="11"/>
        <v>944245.7739143502</v>
      </c>
      <c r="G52" s="266">
        <f t="shared" si="11"/>
        <v>1233083.9105625118</v>
      </c>
      <c r="H52" s="266">
        <f t="shared" si="11"/>
        <v>939418.41217686026</v>
      </c>
      <c r="I52" s="266">
        <f t="shared" si="11"/>
        <v>989208.3190613453</v>
      </c>
      <c r="J52" s="266">
        <f t="shared" si="11"/>
        <v>1459549.6809654853</v>
      </c>
      <c r="K52" s="266">
        <f t="shared" si="11"/>
        <v>918354.48691970436</v>
      </c>
      <c r="L52" s="266">
        <f t="shared" si="11"/>
        <v>786201.61475515622</v>
      </c>
      <c r="M52" s="266">
        <f t="shared" si="11"/>
        <v>1265843.8202323669</v>
      </c>
      <c r="N52" s="266">
        <f t="shared" si="11"/>
        <v>921111.84935537924</v>
      </c>
      <c r="O52" s="266">
        <f t="shared" si="11"/>
        <v>1338719.9014942851</v>
      </c>
      <c r="P52" s="267">
        <f t="shared" si="11"/>
        <v>0</v>
      </c>
      <c r="R52" s="572"/>
      <c r="S52" s="267">
        <f t="shared" si="14"/>
        <v>0</v>
      </c>
      <c r="T52" s="617" t="e">
        <f t="shared" si="10"/>
        <v>#DIV/0!</v>
      </c>
    </row>
    <row r="53" spans="1:20" hidden="1" outlineLevel="1" x14ac:dyDescent="0.45">
      <c r="A53" s="485" t="s">
        <v>59</v>
      </c>
      <c r="B53" s="512">
        <v>0.14222911740547201</v>
      </c>
      <c r="C53" s="511">
        <f t="shared" si="12"/>
        <v>143288970.79112968</v>
      </c>
      <c r="D53" s="265">
        <f t="shared" si="9"/>
        <v>137341568.95780006</v>
      </c>
      <c r="E53" s="266">
        <f t="shared" si="13"/>
        <v>11031697.243561229</v>
      </c>
      <c r="F53" s="266">
        <f t="shared" si="11"/>
        <v>11047652.797521465</v>
      </c>
      <c r="G53" s="266">
        <f t="shared" si="11"/>
        <v>14427052.035014259</v>
      </c>
      <c r="H53" s="266">
        <f t="shared" si="11"/>
        <v>10991172.781537125</v>
      </c>
      <c r="I53" s="266">
        <f t="shared" si="11"/>
        <v>11573713.492098575</v>
      </c>
      <c r="J53" s="266">
        <f t="shared" si="11"/>
        <v>17076696.09067535</v>
      </c>
      <c r="K53" s="266">
        <f t="shared" si="11"/>
        <v>10744725.363690265</v>
      </c>
      <c r="L53" s="266">
        <f t="shared" si="11"/>
        <v>9198539.944382688</v>
      </c>
      <c r="M53" s="266">
        <f t="shared" si="11"/>
        <v>14810342.18860467</v>
      </c>
      <c r="N53" s="266">
        <f t="shared" si="11"/>
        <v>10776986.437732441</v>
      </c>
      <c r="O53" s="266">
        <f t="shared" si="11"/>
        <v>15662990.582981978</v>
      </c>
      <c r="P53" s="267">
        <f t="shared" si="11"/>
        <v>0</v>
      </c>
      <c r="R53" s="572"/>
      <c r="S53" s="267">
        <f t="shared" si="14"/>
        <v>0</v>
      </c>
      <c r="T53" s="617" t="e">
        <f t="shared" si="10"/>
        <v>#DIV/0!</v>
      </c>
    </row>
    <row r="54" spans="1:20" hidden="1" outlineLevel="1" x14ac:dyDescent="0.45">
      <c r="A54" s="485" t="s">
        <v>60</v>
      </c>
      <c r="B54" s="512">
        <v>0.62531386727335636</v>
      </c>
      <c r="C54" s="511">
        <f t="shared" si="12"/>
        <v>629973539.15642798</v>
      </c>
      <c r="D54" s="265">
        <f t="shared" si="9"/>
        <v>603825638.44193661</v>
      </c>
      <c r="E54" s="266">
        <f t="shared" si="13"/>
        <v>48501132.481151849</v>
      </c>
      <c r="F54" s="266">
        <f t="shared" si="11"/>
        <v>48571281.472676001</v>
      </c>
      <c r="G54" s="266">
        <f t="shared" si="11"/>
        <v>63428894.630978204</v>
      </c>
      <c r="H54" s="266">
        <f t="shared" si="11"/>
        <v>48322965.67164249</v>
      </c>
      <c r="I54" s="266">
        <f t="shared" si="11"/>
        <v>50884120.456333116</v>
      </c>
      <c r="J54" s="266">
        <f t="shared" si="11"/>
        <v>75078120.904525712</v>
      </c>
      <c r="K54" s="266">
        <f t="shared" si="11"/>
        <v>47239453.443312906</v>
      </c>
      <c r="L54" s="266">
        <f t="shared" si="11"/>
        <v>40441610.626693562</v>
      </c>
      <c r="M54" s="266">
        <f t="shared" si="11"/>
        <v>65114039.365063414</v>
      </c>
      <c r="N54" s="266">
        <f t="shared" si="11"/>
        <v>47381290.061156742</v>
      </c>
      <c r="O54" s="266">
        <f t="shared" si="11"/>
        <v>68862729.328402668</v>
      </c>
      <c r="P54" s="267">
        <f t="shared" si="11"/>
        <v>0</v>
      </c>
      <c r="R54" s="572"/>
      <c r="S54" s="267">
        <f>SUM((S$29*R$40)*B54)+(S30)</f>
        <v>0</v>
      </c>
      <c r="T54" s="617" t="e">
        <f t="shared" si="10"/>
        <v>#DIV/0!</v>
      </c>
    </row>
    <row r="55" spans="1:20" hidden="1" outlineLevel="1" x14ac:dyDescent="0.45">
      <c r="A55" s="486" t="s">
        <v>80</v>
      </c>
      <c r="B55" s="271">
        <f>SUBTOTAL(9,B42:B54)</f>
        <v>1</v>
      </c>
      <c r="C55" s="272">
        <f>SUBTOTAL(9,C42:C54)</f>
        <v>1007451732.844803</v>
      </c>
      <c r="D55" s="272">
        <f t="shared" si="9"/>
        <v>965636091.00000012</v>
      </c>
      <c r="E55" s="272">
        <f t="shared" ref="E55:S55" si="15">SUBTOTAL(9,E42:E54)</f>
        <v>77562860.859999999</v>
      </c>
      <c r="F55" s="272">
        <f t="shared" si="15"/>
        <v>77675042.909999996</v>
      </c>
      <c r="G55" s="272">
        <f t="shared" si="15"/>
        <v>101435291.86</v>
      </c>
      <c r="H55" s="272">
        <f t="shared" si="15"/>
        <v>77277937.049999997</v>
      </c>
      <c r="I55" s="272">
        <f t="shared" si="15"/>
        <v>81373727.849999994</v>
      </c>
      <c r="J55" s="272">
        <f t="shared" si="15"/>
        <v>120064698.44</v>
      </c>
      <c r="K55" s="272">
        <f t="shared" si="15"/>
        <v>75545187.650000006</v>
      </c>
      <c r="L55" s="272">
        <f t="shared" si="15"/>
        <v>64674098.469999999</v>
      </c>
      <c r="M55" s="272">
        <f t="shared" si="15"/>
        <v>104130170.09999999</v>
      </c>
      <c r="N55" s="272">
        <f t="shared" si="15"/>
        <v>75772012.329999998</v>
      </c>
      <c r="O55" s="272">
        <f t="shared" si="15"/>
        <v>110125063.48</v>
      </c>
      <c r="P55" s="293">
        <f t="shared" si="15"/>
        <v>0</v>
      </c>
      <c r="R55" s="573"/>
      <c r="S55" s="293">
        <f t="shared" si="15"/>
        <v>0</v>
      </c>
      <c r="T55" s="617" t="e">
        <f t="shared" si="10"/>
        <v>#DIV/0!</v>
      </c>
    </row>
    <row r="56" spans="1:20" collapsed="1" x14ac:dyDescent="0.45">
      <c r="A56" s="483" t="s">
        <v>28</v>
      </c>
      <c r="B56" s="513">
        <f>'County One Time Input-BASE'!B49</f>
        <v>2.0993250275126246E-2</v>
      </c>
      <c r="C56" s="509">
        <f>$C$5*$B56</f>
        <v>47403345.020094611</v>
      </c>
      <c r="D56" s="259">
        <f t="shared" si="9"/>
        <v>45435805.299999997</v>
      </c>
      <c r="E56" s="260">
        <f t="shared" ref="E56:P57" si="16">ROUND(E$5*$B56,2)</f>
        <v>3649543.63</v>
      </c>
      <c r="F56" s="260">
        <f t="shared" si="16"/>
        <v>3654822.1</v>
      </c>
      <c r="G56" s="260">
        <f t="shared" si="16"/>
        <v>4772806.46</v>
      </c>
      <c r="H56" s="260">
        <f t="shared" si="16"/>
        <v>3636137.19</v>
      </c>
      <c r="I56" s="260">
        <f t="shared" si="16"/>
        <v>3828855.29</v>
      </c>
      <c r="J56" s="260">
        <f t="shared" si="16"/>
        <v>5649370.7199999997</v>
      </c>
      <c r="K56" s="260">
        <f t="shared" si="16"/>
        <v>3554606.62</v>
      </c>
      <c r="L56" s="260">
        <f t="shared" si="16"/>
        <v>3043092.29</v>
      </c>
      <c r="M56" s="260">
        <f t="shared" si="16"/>
        <v>4899607.8099999996</v>
      </c>
      <c r="N56" s="260">
        <f t="shared" si="16"/>
        <v>3565279.33</v>
      </c>
      <c r="O56" s="260">
        <f t="shared" si="16"/>
        <v>5181683.8600000003</v>
      </c>
      <c r="P56" s="261">
        <f t="shared" si="16"/>
        <v>0</v>
      </c>
      <c r="R56" s="574">
        <f>'County One Time Input-GROWTH'!B46</f>
        <v>2.1314724767292539E-2</v>
      </c>
      <c r="S56" s="261">
        <f>S$29*R56</f>
        <v>0</v>
      </c>
      <c r="T56" s="617" t="e">
        <f t="shared" si="10"/>
        <v>#DIV/0!</v>
      </c>
    </row>
    <row r="57" spans="1:20" x14ac:dyDescent="0.45">
      <c r="A57" s="483" t="s">
        <v>29</v>
      </c>
      <c r="B57" s="513">
        <f>'County One Time Input-BASE'!B50</f>
        <v>2.1392685555495575E-2</v>
      </c>
      <c r="C57" s="509">
        <f>$C$5*$B57</f>
        <v>48305281.030974261</v>
      </c>
      <c r="D57" s="259">
        <f t="shared" si="9"/>
        <v>46300305.230000004</v>
      </c>
      <c r="E57" s="260">
        <f t="shared" si="16"/>
        <v>3718982.92</v>
      </c>
      <c r="F57" s="260">
        <f t="shared" si="16"/>
        <v>3724361.83</v>
      </c>
      <c r="G57" s="260">
        <f t="shared" si="16"/>
        <v>4863617.9000000004</v>
      </c>
      <c r="H57" s="260">
        <f t="shared" si="16"/>
        <v>3705321.4</v>
      </c>
      <c r="I57" s="260">
        <f t="shared" si="16"/>
        <v>3901706.32</v>
      </c>
      <c r="J57" s="260">
        <f t="shared" si="16"/>
        <v>5756860.4100000001</v>
      </c>
      <c r="K57" s="260">
        <f t="shared" si="16"/>
        <v>3622239.56</v>
      </c>
      <c r="L57" s="260">
        <f t="shared" si="16"/>
        <v>3100992.73</v>
      </c>
      <c r="M57" s="260">
        <f t="shared" si="16"/>
        <v>4992831.88</v>
      </c>
      <c r="N57" s="260">
        <f t="shared" si="16"/>
        <v>3633115.34</v>
      </c>
      <c r="O57" s="260">
        <f t="shared" si="16"/>
        <v>5280274.9400000004</v>
      </c>
      <c r="P57" s="261">
        <f t="shared" si="16"/>
        <v>0</v>
      </c>
      <c r="R57" s="574">
        <f>'County One Time Input-GROWTH'!B47</f>
        <v>2.1720276692403735E-2</v>
      </c>
      <c r="S57" s="261">
        <f>S$29*R57</f>
        <v>0</v>
      </c>
      <c r="T57" s="617" t="e">
        <f t="shared" si="10"/>
        <v>#DIV/0!</v>
      </c>
    </row>
    <row r="58" spans="1:20" hidden="1" outlineLevel="1" x14ac:dyDescent="0.45">
      <c r="A58" s="484"/>
      <c r="B58" s="510" t="s">
        <v>72</v>
      </c>
      <c r="C58" s="511"/>
      <c r="D58" s="265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7"/>
      <c r="R58" s="571"/>
      <c r="S58" s="267"/>
      <c r="T58" s="617"/>
    </row>
    <row r="59" spans="1:20" hidden="1" outlineLevel="1" x14ac:dyDescent="0.45">
      <c r="A59" s="485" t="s">
        <v>29</v>
      </c>
      <c r="B59" s="512">
        <v>0.67507438970000011</v>
      </c>
      <c r="C59" s="511">
        <f>$C$57*B59</f>
        <v>32609658.11127194</v>
      </c>
      <c r="D59" s="265">
        <f t="shared" si="9"/>
        <v>31256150.296065975</v>
      </c>
      <c r="E59" s="266">
        <f>E$57*$B59</f>
        <v>2510590.1250237245</v>
      </c>
      <c r="F59" s="266">
        <f t="shared" ref="F59:S59" si="17">F$57*$B59</f>
        <v>2514221.2894092258</v>
      </c>
      <c r="G59" s="266">
        <f t="shared" si="17"/>
        <v>3283303.8855764964</v>
      </c>
      <c r="H59" s="266">
        <f t="shared" si="17"/>
        <v>2501367.58274735</v>
      </c>
      <c r="I59" s="266">
        <f t="shared" si="17"/>
        <v>2633942.0127626332</v>
      </c>
      <c r="J59" s="266">
        <f t="shared" si="17"/>
        <v>3886309.0278688427</v>
      </c>
      <c r="K59" s="266">
        <f t="shared" si="17"/>
        <v>2445281.1603141972</v>
      </c>
      <c r="L59" s="266">
        <f t="shared" si="17"/>
        <v>2093400.7746688873</v>
      </c>
      <c r="M59" s="266">
        <f t="shared" si="17"/>
        <v>3370532.9342657039</v>
      </c>
      <c r="N59" s="266">
        <f t="shared" si="17"/>
        <v>2452623.1208602083</v>
      </c>
      <c r="O59" s="266">
        <f t="shared" si="17"/>
        <v>3564578.3825687049</v>
      </c>
      <c r="P59" s="267">
        <f t="shared" si="17"/>
        <v>0</v>
      </c>
      <c r="R59" s="572"/>
      <c r="S59" s="267">
        <f t="shared" si="17"/>
        <v>0</v>
      </c>
      <c r="T59" s="617"/>
    </row>
    <row r="60" spans="1:20" hidden="1" outlineLevel="1" x14ac:dyDescent="0.45">
      <c r="A60" s="485" t="s">
        <v>61</v>
      </c>
      <c r="B60" s="512">
        <v>0.31521389030000002</v>
      </c>
      <c r="C60" s="511">
        <f>$C$57*B60</f>
        <v>15226495.555808192</v>
      </c>
      <c r="D60" s="265">
        <f t="shared" si="9"/>
        <v>14594499.333625736</v>
      </c>
      <c r="E60" s="266">
        <f t="shared" ref="E60:S61" si="18">E$57*$B60</f>
        <v>1172275.0741724537</v>
      </c>
      <c r="F60" s="266">
        <f t="shared" si="18"/>
        <v>1173970.5813191275</v>
      </c>
      <c r="G60" s="266">
        <f t="shared" si="18"/>
        <v>1533079.9191917167</v>
      </c>
      <c r="H60" s="266">
        <f t="shared" si="18"/>
        <v>1167968.7733058424</v>
      </c>
      <c r="I60" s="266">
        <f t="shared" si="18"/>
        <v>1229872.0279352968</v>
      </c>
      <c r="J60" s="266">
        <f t="shared" si="18"/>
        <v>1814642.3657501531</v>
      </c>
      <c r="K60" s="266">
        <f t="shared" si="18"/>
        <v>1141780.2233061604</v>
      </c>
      <c r="L60" s="266">
        <f t="shared" si="18"/>
        <v>977475.98221531755</v>
      </c>
      <c r="M60" s="266">
        <f t="shared" si="18"/>
        <v>1573809.9605086627</v>
      </c>
      <c r="N60" s="266">
        <f t="shared" si="18"/>
        <v>1145208.4202300073</v>
      </c>
      <c r="O60" s="266">
        <f t="shared" si="18"/>
        <v>1664416.0056909993</v>
      </c>
      <c r="P60" s="267">
        <f t="shared" si="18"/>
        <v>0</v>
      </c>
      <c r="R60" s="572"/>
      <c r="S60" s="267">
        <f t="shared" si="18"/>
        <v>0</v>
      </c>
      <c r="T60" s="617"/>
    </row>
    <row r="61" spans="1:20" hidden="1" outlineLevel="1" x14ac:dyDescent="0.45">
      <c r="A61" s="485" t="s">
        <v>62</v>
      </c>
      <c r="B61" s="512">
        <v>9.7117200000000001E-3</v>
      </c>
      <c r="C61" s="511">
        <f>$C$57*B61</f>
        <v>469127.36389413336</v>
      </c>
      <c r="D61" s="265">
        <f t="shared" si="9"/>
        <v>449655.60030829563</v>
      </c>
      <c r="E61" s="266">
        <f t="shared" si="18"/>
        <v>36117.720803822398</v>
      </c>
      <c r="F61" s="266">
        <f t="shared" si="18"/>
        <v>36169.959271647604</v>
      </c>
      <c r="G61" s="266">
        <f t="shared" si="18"/>
        <v>47234.095231788007</v>
      </c>
      <c r="H61" s="266">
        <f t="shared" si="18"/>
        <v>35985.043946808</v>
      </c>
      <c r="I61" s="266">
        <f t="shared" si="18"/>
        <v>37892.279302070398</v>
      </c>
      <c r="J61" s="266">
        <f t="shared" si="18"/>
        <v>55909.016381005204</v>
      </c>
      <c r="K61" s="266">
        <f t="shared" si="18"/>
        <v>35178.176379643199</v>
      </c>
      <c r="L61" s="266">
        <f t="shared" si="18"/>
        <v>30115.973115795601</v>
      </c>
      <c r="M61" s="266">
        <f t="shared" si="18"/>
        <v>48488.985225633602</v>
      </c>
      <c r="N61" s="266">
        <f t="shared" si="18"/>
        <v>35283.798909784797</v>
      </c>
      <c r="O61" s="266">
        <f t="shared" si="18"/>
        <v>51280.551740296803</v>
      </c>
      <c r="P61" s="267">
        <f t="shared" si="18"/>
        <v>0</v>
      </c>
      <c r="R61" s="572"/>
      <c r="S61" s="267">
        <f t="shared" si="18"/>
        <v>0</v>
      </c>
      <c r="T61" s="617"/>
    </row>
    <row r="62" spans="1:20" hidden="1" outlineLevel="1" x14ac:dyDescent="0.45">
      <c r="A62" s="486" t="s">
        <v>81</v>
      </c>
      <c r="B62" s="271">
        <f>SUBTOTAL(9,B59:B61)</f>
        <v>1.0000000000000002</v>
      </c>
      <c r="C62" s="272">
        <f>SUBTOTAL(9,C59:C61)</f>
        <v>48305281.030974269</v>
      </c>
      <c r="D62" s="272">
        <f t="shared" si="9"/>
        <v>46300305.230000019</v>
      </c>
      <c r="E62" s="272">
        <f t="shared" ref="E62:S62" si="19">SUBTOTAL(9,E59:E61)</f>
        <v>3718982.9200000009</v>
      </c>
      <c r="F62" s="272">
        <f t="shared" si="19"/>
        <v>3724361.8300000005</v>
      </c>
      <c r="G62" s="272">
        <f t="shared" si="19"/>
        <v>4863617.9000000013</v>
      </c>
      <c r="H62" s="272">
        <f t="shared" si="19"/>
        <v>3705321.4000000004</v>
      </c>
      <c r="I62" s="272">
        <f t="shared" si="19"/>
        <v>3901706.3200000003</v>
      </c>
      <c r="J62" s="272">
        <f t="shared" si="19"/>
        <v>5756860.4100000001</v>
      </c>
      <c r="K62" s="272">
        <f t="shared" si="19"/>
        <v>3622239.560000001</v>
      </c>
      <c r="L62" s="272">
        <f t="shared" si="19"/>
        <v>3100992.7300000004</v>
      </c>
      <c r="M62" s="272">
        <f t="shared" si="19"/>
        <v>4992831.88</v>
      </c>
      <c r="N62" s="272">
        <f t="shared" si="19"/>
        <v>3633115.3400000003</v>
      </c>
      <c r="O62" s="272">
        <f t="shared" si="19"/>
        <v>5280274.9400000013</v>
      </c>
      <c r="P62" s="293">
        <f t="shared" si="19"/>
        <v>0</v>
      </c>
      <c r="R62" s="572"/>
      <c r="S62" s="286">
        <f t="shared" si="19"/>
        <v>0</v>
      </c>
      <c r="T62" s="617"/>
    </row>
    <row r="63" spans="1:20" collapsed="1" x14ac:dyDescent="0.45">
      <c r="A63" s="483" t="s">
        <v>31</v>
      </c>
      <c r="B63" s="513">
        <f>'County One Time Input-BASE'!B51</f>
        <v>1.5082272732866463E-2</v>
      </c>
      <c r="C63" s="509">
        <f>$C$5*$B63</f>
        <v>34056192.760696016</v>
      </c>
      <c r="D63" s="259">
        <f t="shared" si="9"/>
        <v>32642644.600000001</v>
      </c>
      <c r="E63" s="260">
        <f t="shared" ref="E63:P64" si="20">ROUND(E$5*$B63,2)</f>
        <v>2621957.61</v>
      </c>
      <c r="F63" s="260">
        <f t="shared" si="20"/>
        <v>2625749.85</v>
      </c>
      <c r="G63" s="260">
        <f t="shared" si="20"/>
        <v>3428948.25</v>
      </c>
      <c r="H63" s="260">
        <f t="shared" si="20"/>
        <v>2612325.9700000002</v>
      </c>
      <c r="I63" s="260">
        <f t="shared" si="20"/>
        <v>2750781.27</v>
      </c>
      <c r="J63" s="260">
        <f t="shared" si="20"/>
        <v>4058702.15</v>
      </c>
      <c r="K63" s="260">
        <f t="shared" si="20"/>
        <v>2553751.6</v>
      </c>
      <c r="L63" s="260">
        <f t="shared" si="20"/>
        <v>2186262.12</v>
      </c>
      <c r="M63" s="260">
        <f t="shared" si="20"/>
        <v>3520046.7</v>
      </c>
      <c r="N63" s="260">
        <f t="shared" si="20"/>
        <v>2561419.25</v>
      </c>
      <c r="O63" s="260">
        <f t="shared" si="20"/>
        <v>3722699.83</v>
      </c>
      <c r="P63" s="261">
        <f t="shared" si="20"/>
        <v>0</v>
      </c>
      <c r="R63" s="574">
        <f>'County One Time Input-GROWTH'!B48</f>
        <v>0</v>
      </c>
      <c r="S63" s="261">
        <f>S$29*R63</f>
        <v>0</v>
      </c>
      <c r="T63" s="617" t="e">
        <f>S63/S$65</f>
        <v>#DIV/0!</v>
      </c>
    </row>
    <row r="64" spans="1:20" ht="14.65" collapsed="1" thickBot="1" x14ac:dyDescent="0.5">
      <c r="A64" s="346"/>
      <c r="B64" s="514">
        <f>'County One Time Input-BASE'!B52</f>
        <v>0</v>
      </c>
      <c r="C64" s="515">
        <f>$C$5*$B64</f>
        <v>0</v>
      </c>
      <c r="D64" s="280">
        <f t="shared" si="9"/>
        <v>0</v>
      </c>
      <c r="E64" s="281">
        <f t="shared" si="20"/>
        <v>0</v>
      </c>
      <c r="F64" s="281">
        <f t="shared" si="20"/>
        <v>0</v>
      </c>
      <c r="G64" s="281">
        <f t="shared" si="20"/>
        <v>0</v>
      </c>
      <c r="H64" s="281">
        <f t="shared" si="20"/>
        <v>0</v>
      </c>
      <c r="I64" s="281">
        <f t="shared" si="20"/>
        <v>0</v>
      </c>
      <c r="J64" s="281">
        <f t="shared" si="20"/>
        <v>0</v>
      </c>
      <c r="K64" s="281">
        <f t="shared" si="20"/>
        <v>0</v>
      </c>
      <c r="L64" s="281">
        <f t="shared" si="20"/>
        <v>0</v>
      </c>
      <c r="M64" s="281">
        <f t="shared" si="20"/>
        <v>0</v>
      </c>
      <c r="N64" s="281">
        <f t="shared" si="20"/>
        <v>0</v>
      </c>
      <c r="O64" s="281">
        <f t="shared" si="20"/>
        <v>0</v>
      </c>
      <c r="P64" s="282">
        <f t="shared" si="20"/>
        <v>0</v>
      </c>
      <c r="R64" s="575"/>
      <c r="S64" s="282">
        <f>S$29*R64</f>
        <v>0</v>
      </c>
      <c r="T64" s="617" t="e">
        <f>S64/S$65</f>
        <v>#DIV/0!</v>
      </c>
    </row>
    <row r="65" spans="1:20" ht="14.65" thickBot="1" x14ac:dyDescent="0.5">
      <c r="A65" s="480" t="s">
        <v>95</v>
      </c>
      <c r="B65" s="516">
        <f>+B35+B36+B37+B38+B39+B40+B56+B57+B63+B64</f>
        <v>0.99999999999999978</v>
      </c>
      <c r="C65" s="517">
        <f>+C35+C36+C37+C38+C39+C40+C56+C57+C63+C64</f>
        <v>2258027908.9160495</v>
      </c>
      <c r="D65" s="65">
        <f>+D35+D36+D37+D38+D39+D40+D56+D57+D63+D64</f>
        <v>2164305417.5599999</v>
      </c>
      <c r="E65" s="65">
        <f>+E35+E36+E37+E38+E39+E40+E56+E57+E63+E64</f>
        <v>173843667.92999998</v>
      </c>
      <c r="F65" s="65">
        <f t="shared" ref="F65:S65" si="21">+F35+F36+F37+F38+F39+F40+F56+F57+F63+F64</f>
        <v>174095104.52000001</v>
      </c>
      <c r="G65" s="65">
        <f t="shared" si="21"/>
        <v>227349571.69999999</v>
      </c>
      <c r="H65" s="65">
        <f t="shared" si="21"/>
        <v>173205060.76999998</v>
      </c>
      <c r="I65" s="65">
        <f t="shared" si="21"/>
        <v>182385063.76999998</v>
      </c>
      <c r="J65" s="65">
        <f t="shared" si="21"/>
        <v>269104147.72999996</v>
      </c>
      <c r="K65" s="65">
        <f t="shared" si="21"/>
        <v>169321404.22999999</v>
      </c>
      <c r="L65" s="65">
        <f t="shared" si="21"/>
        <v>144955747.81999999</v>
      </c>
      <c r="M65" s="65">
        <f t="shared" si="21"/>
        <v>233389672.75999999</v>
      </c>
      <c r="N65" s="65">
        <f t="shared" si="21"/>
        <v>169829792.30000001</v>
      </c>
      <c r="O65" s="65">
        <f t="shared" si="21"/>
        <v>246826184.03</v>
      </c>
      <c r="P65" s="67">
        <f t="shared" si="21"/>
        <v>0</v>
      </c>
      <c r="R65" s="614">
        <f>+R35+R36+R37+R38+R39+R40+R56+R57+R63+R64</f>
        <v>1</v>
      </c>
      <c r="S65" s="67">
        <f t="shared" si="21"/>
        <v>0</v>
      </c>
      <c r="T65" s="618" t="e">
        <f>+T35+T36+T37+T38+T39+T40+T56+T57+T63+T64</f>
        <v>#DIV/0!</v>
      </c>
    </row>
    <row r="76" spans="1:20" x14ac:dyDescent="0.45">
      <c r="A76" s="84" t="s">
        <v>43</v>
      </c>
      <c r="B76" s="84"/>
      <c r="C76" s="503">
        <f>C6</f>
        <v>1328618217.6800001</v>
      </c>
      <c r="D76" s="39"/>
    </row>
    <row r="77" spans="1:20" ht="14.65" thickBot="1" x14ac:dyDescent="0.5">
      <c r="B77" s="84"/>
      <c r="C77" s="84"/>
    </row>
    <row r="78" spans="1:20" ht="43.15" thickBot="1" x14ac:dyDescent="0.5">
      <c r="A78" s="480" t="s">
        <v>37</v>
      </c>
      <c r="B78" s="504" t="s">
        <v>38</v>
      </c>
      <c r="C78" s="504" t="s">
        <v>39</v>
      </c>
      <c r="D78" s="57" t="str">
        <f>D3</f>
        <v>RECEIPTS THROUGH JULY</v>
      </c>
      <c r="E78" s="27" t="s">
        <v>7</v>
      </c>
      <c r="F78" s="27" t="s">
        <v>8</v>
      </c>
      <c r="G78" s="27" t="s">
        <v>9</v>
      </c>
      <c r="H78" s="27" t="s">
        <v>10</v>
      </c>
      <c r="I78" s="27" t="s">
        <v>11</v>
      </c>
      <c r="J78" s="27" t="s">
        <v>12</v>
      </c>
      <c r="K78" s="27" t="s">
        <v>13</v>
      </c>
      <c r="L78" s="27" t="s">
        <v>14</v>
      </c>
      <c r="M78" s="27" t="s">
        <v>15</v>
      </c>
      <c r="N78" s="27" t="s">
        <v>16</v>
      </c>
      <c r="O78" s="27" t="s">
        <v>17</v>
      </c>
      <c r="P78" s="28" t="s">
        <v>18</v>
      </c>
      <c r="R78" s="412" t="s">
        <v>175</v>
      </c>
      <c r="S78" s="386" t="s">
        <v>172</v>
      </c>
    </row>
    <row r="79" spans="1:20" ht="4.5" customHeight="1" thickBot="1" x14ac:dyDescent="0.5">
      <c r="A79" s="481"/>
      <c r="B79" s="505"/>
      <c r="C79" s="505"/>
      <c r="D79" s="41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3"/>
      <c r="R79" s="382"/>
      <c r="S79" s="387"/>
    </row>
    <row r="80" spans="1:20" x14ac:dyDescent="0.45">
      <c r="A80" s="487" t="s">
        <v>44</v>
      </c>
      <c r="B80" s="518">
        <f>'County One Time Input-BASE'!B60</f>
        <v>0.18602922781854569</v>
      </c>
      <c r="C80" s="519">
        <f>C$76*B80</f>
        <v>247161821.10066286</v>
      </c>
      <c r="D80" s="254">
        <f>SUM(E80:P80)+S80</f>
        <v>236942400.82999998</v>
      </c>
      <c r="E80" s="255">
        <f t="shared" ref="E80:P80" si="22">ROUND(E$6*$B80,2)</f>
        <v>19022728.670000002</v>
      </c>
      <c r="F80" s="255">
        <f t="shared" si="22"/>
        <v>19050356.390000001</v>
      </c>
      <c r="G80" s="255">
        <f t="shared" si="22"/>
        <v>24901929.940000001</v>
      </c>
      <c r="H80" s="255">
        <f t="shared" si="22"/>
        <v>18952558.84</v>
      </c>
      <c r="I80" s="255">
        <f t="shared" si="22"/>
        <v>19961252.859999999</v>
      </c>
      <c r="J80" s="255">
        <f t="shared" si="22"/>
        <v>29489901.34</v>
      </c>
      <c r="K80" s="255">
        <f t="shared" si="22"/>
        <v>18525824.649999999</v>
      </c>
      <c r="L80" s="255">
        <f t="shared" si="22"/>
        <v>15848538.82</v>
      </c>
      <c r="M80" s="255">
        <f t="shared" si="22"/>
        <v>25565613.140000001</v>
      </c>
      <c r="N80" s="255">
        <f t="shared" si="22"/>
        <v>18581686.07</v>
      </c>
      <c r="O80" s="255">
        <f t="shared" si="22"/>
        <v>27042010.109999999</v>
      </c>
      <c r="P80" s="256">
        <f t="shared" si="22"/>
        <v>0</v>
      </c>
      <c r="R80" s="576">
        <f>'County One Time Input-GROWTH'!B57</f>
        <v>0.18602922781854569</v>
      </c>
      <c r="S80" s="388">
        <f>S6*R80</f>
        <v>0</v>
      </c>
    </row>
    <row r="81" spans="1:19" hidden="1" outlineLevel="1" x14ac:dyDescent="0.45">
      <c r="A81" s="484"/>
      <c r="B81" s="510" t="s">
        <v>71</v>
      </c>
      <c r="C81" s="511"/>
      <c r="D81" s="265"/>
      <c r="E81" s="266"/>
      <c r="F81" s="266"/>
      <c r="G81" s="266"/>
      <c r="H81" s="266"/>
      <c r="I81" s="266"/>
      <c r="J81" s="266"/>
      <c r="K81" s="266"/>
      <c r="L81" s="266"/>
      <c r="M81" s="266"/>
      <c r="N81" s="266"/>
      <c r="O81" s="266"/>
      <c r="P81" s="267"/>
      <c r="R81" s="577"/>
      <c r="S81" s="390"/>
    </row>
    <row r="82" spans="1:19" hidden="1" outlineLevel="1" x14ac:dyDescent="0.45">
      <c r="A82" s="485" t="s">
        <v>63</v>
      </c>
      <c r="B82" s="512">
        <v>0.73449730765567134</v>
      </c>
      <c r="C82" s="511">
        <f>C$80*B82</f>
        <v>181539692.15370956</v>
      </c>
      <c r="D82" s="265">
        <f>SUM(E82:P82)+S82</f>
        <v>174033555.47910589</v>
      </c>
      <c r="E82" s="266">
        <f>E$80*$B82</f>
        <v>13972142.992379351</v>
      </c>
      <c r="F82" s="266">
        <f t="shared" ref="F82:S82" si="23">F$80*$B82</f>
        <v>13992435.478336016</v>
      </c>
      <c r="G82" s="266">
        <f t="shared" si="23"/>
        <v>18290400.496360153</v>
      </c>
      <c r="H82" s="266">
        <f t="shared" si="23"/>
        <v>13920603.441165693</v>
      </c>
      <c r="I82" s="266">
        <f t="shared" si="23"/>
        <v>14661486.483104069</v>
      </c>
      <c r="J82" s="266">
        <f t="shared" si="23"/>
        <v>21660253.137261376</v>
      </c>
      <c r="K82" s="266">
        <f t="shared" si="23"/>
        <v>13607168.327526068</v>
      </c>
      <c r="L82" s="266">
        <f t="shared" si="23"/>
        <v>11640709.09356639</v>
      </c>
      <c r="M82" s="266">
        <f t="shared" si="23"/>
        <v>18777874.019896455</v>
      </c>
      <c r="N82" s="266">
        <f t="shared" si="23"/>
        <v>13648198.390117893</v>
      </c>
      <c r="O82" s="266">
        <f t="shared" si="23"/>
        <v>19862283.619392443</v>
      </c>
      <c r="P82" s="267">
        <f t="shared" si="23"/>
        <v>0</v>
      </c>
      <c r="R82" s="578"/>
      <c r="S82" s="390">
        <f t="shared" si="23"/>
        <v>0</v>
      </c>
    </row>
    <row r="83" spans="1:19" hidden="1" outlineLevel="1" x14ac:dyDescent="0.45">
      <c r="A83" s="485" t="s">
        <v>64</v>
      </c>
      <c r="B83" s="512">
        <v>0.11505079313494221</v>
      </c>
      <c r="C83" s="511">
        <f>$C$80*B83</f>
        <v>28436163.550307956</v>
      </c>
      <c r="D83" s="265">
        <f>SUM(E83:P83)+S83</f>
        <v>27260411.142788887</v>
      </c>
      <c r="E83" s="266">
        <f t="shared" ref="E83:S84" si="24">E$80*$B83</f>
        <v>2188580.0210743044</v>
      </c>
      <c r="F83" s="266">
        <f t="shared" si="24"/>
        <v>2191758.6121728146</v>
      </c>
      <c r="G83" s="266">
        <f t="shared" si="24"/>
        <v>2864986.790187764</v>
      </c>
      <c r="H83" s="266">
        <f t="shared" si="24"/>
        <v>2180506.9264786602</v>
      </c>
      <c r="I83" s="266">
        <f t="shared" si="24"/>
        <v>2296557.9735101336</v>
      </c>
      <c r="J83" s="266">
        <f t="shared" si="24"/>
        <v>3392836.538638195</v>
      </c>
      <c r="K83" s="266">
        <f t="shared" si="24"/>
        <v>2131410.8194613629</v>
      </c>
      <c r="L83" s="266">
        <f t="shared" si="24"/>
        <v>1823386.9612709212</v>
      </c>
      <c r="M83" s="266">
        <f t="shared" si="24"/>
        <v>2941344.0687381006</v>
      </c>
      <c r="N83" s="266">
        <f t="shared" si="24"/>
        <v>2137837.7201380073</v>
      </c>
      <c r="O83" s="266">
        <f t="shared" si="24"/>
        <v>3111204.7111186259</v>
      </c>
      <c r="P83" s="267">
        <f t="shared" si="24"/>
        <v>0</v>
      </c>
      <c r="R83" s="578"/>
      <c r="S83" s="390">
        <f t="shared" si="24"/>
        <v>0</v>
      </c>
    </row>
    <row r="84" spans="1:19" hidden="1" outlineLevel="1" x14ac:dyDescent="0.45">
      <c r="A84" s="485" t="s">
        <v>65</v>
      </c>
      <c r="B84" s="512">
        <v>0.15045189920938651</v>
      </c>
      <c r="C84" s="511">
        <f>$C$80*B84</f>
        <v>37185965.396645345</v>
      </c>
      <c r="D84" s="265">
        <f>SUM(E84:P84)+S84</f>
        <v>35648434.208105214</v>
      </c>
      <c r="E84" s="266">
        <f t="shared" si="24"/>
        <v>2862005.6565463473</v>
      </c>
      <c r="F84" s="266">
        <f t="shared" si="24"/>
        <v>2866162.2994911722</v>
      </c>
      <c r="G84" s="266">
        <f t="shared" si="24"/>
        <v>3746542.6534520844</v>
      </c>
      <c r="H84" s="266">
        <f t="shared" si="24"/>
        <v>2851448.4723556475</v>
      </c>
      <c r="I84" s="266">
        <f t="shared" si="24"/>
        <v>3003208.403385798</v>
      </c>
      <c r="J84" s="266">
        <f t="shared" si="24"/>
        <v>4436811.6641004318</v>
      </c>
      <c r="K84" s="266">
        <f t="shared" si="24"/>
        <v>2787245.5030125678</v>
      </c>
      <c r="L84" s="266">
        <f t="shared" si="24"/>
        <v>2384442.7651626896</v>
      </c>
      <c r="M84" s="266">
        <f t="shared" si="24"/>
        <v>3846395.0513654472</v>
      </c>
      <c r="N84" s="266">
        <f t="shared" si="24"/>
        <v>2795649.9597441014</v>
      </c>
      <c r="O84" s="266">
        <f t="shared" si="24"/>
        <v>4068521.7794889309</v>
      </c>
      <c r="P84" s="267">
        <f t="shared" si="24"/>
        <v>0</v>
      </c>
      <c r="R84" s="578"/>
      <c r="S84" s="390">
        <f t="shared" si="24"/>
        <v>0</v>
      </c>
    </row>
    <row r="85" spans="1:19" hidden="1" outlineLevel="1" x14ac:dyDescent="0.45">
      <c r="A85" s="486" t="s">
        <v>77</v>
      </c>
      <c r="B85" s="512">
        <f t="shared" ref="B85:S85" si="25">SUBTOTAL(9,B82:B84)</f>
        <v>1</v>
      </c>
      <c r="C85" s="511">
        <f t="shared" si="25"/>
        <v>247161821.10066286</v>
      </c>
      <c r="D85" s="265">
        <f>SUM(E85:P85)+S85</f>
        <v>236942400.82999998</v>
      </c>
      <c r="E85" s="264">
        <f t="shared" si="25"/>
        <v>19022728.670000002</v>
      </c>
      <c r="F85" s="264">
        <f t="shared" si="25"/>
        <v>19050356.390000001</v>
      </c>
      <c r="G85" s="264">
        <f t="shared" si="25"/>
        <v>24901929.940000001</v>
      </c>
      <c r="H85" s="264">
        <f t="shared" si="25"/>
        <v>18952558.84</v>
      </c>
      <c r="I85" s="264">
        <f t="shared" si="25"/>
        <v>19961252.860000003</v>
      </c>
      <c r="J85" s="264">
        <f t="shared" si="25"/>
        <v>29489901.340000004</v>
      </c>
      <c r="K85" s="264">
        <f t="shared" si="25"/>
        <v>18525824.649999999</v>
      </c>
      <c r="L85" s="264">
        <f t="shared" si="25"/>
        <v>15848538.82</v>
      </c>
      <c r="M85" s="264">
        <f t="shared" si="25"/>
        <v>25565613.140000001</v>
      </c>
      <c r="N85" s="264">
        <f t="shared" si="25"/>
        <v>18581686.07</v>
      </c>
      <c r="O85" s="264">
        <f t="shared" si="25"/>
        <v>27042010.110000003</v>
      </c>
      <c r="P85" s="286">
        <f t="shared" si="25"/>
        <v>0</v>
      </c>
      <c r="R85" s="578"/>
      <c r="S85" s="391">
        <f t="shared" si="25"/>
        <v>0</v>
      </c>
    </row>
    <row r="86" spans="1:19" ht="14.65" collapsed="1" thickBot="1" x14ac:dyDescent="0.5">
      <c r="A86" s="488" t="s">
        <v>45</v>
      </c>
      <c r="B86" s="520">
        <f>'County One Time Input-BASE'!B61</f>
        <v>0.81397077218145431</v>
      </c>
      <c r="C86" s="521">
        <f>C$76*B86</f>
        <v>1081456396.5793371</v>
      </c>
      <c r="D86" s="280">
        <f>SUM(E86:P86)+S86</f>
        <v>1036741329.39</v>
      </c>
      <c r="E86" s="281">
        <f t="shared" ref="E86:P86" si="26">ROUND(E$6*$B86,2)</f>
        <v>83233937.599999994</v>
      </c>
      <c r="F86" s="281">
        <f t="shared" si="26"/>
        <v>83354822.680000007</v>
      </c>
      <c r="G86" s="281">
        <f t="shared" si="26"/>
        <v>108958379.15000001</v>
      </c>
      <c r="H86" s="281">
        <f t="shared" si="26"/>
        <v>82926909.549999997</v>
      </c>
      <c r="I86" s="281">
        <f t="shared" si="26"/>
        <v>87340449.650000006</v>
      </c>
      <c r="J86" s="281">
        <f t="shared" si="26"/>
        <v>129033045.23</v>
      </c>
      <c r="K86" s="281">
        <f t="shared" si="26"/>
        <v>81059734.370000005</v>
      </c>
      <c r="L86" s="281">
        <f t="shared" si="26"/>
        <v>69345271.870000005</v>
      </c>
      <c r="M86" s="281">
        <f t="shared" si="26"/>
        <v>111862324.63</v>
      </c>
      <c r="N86" s="281">
        <f t="shared" si="26"/>
        <v>81304156</v>
      </c>
      <c r="O86" s="281">
        <f t="shared" si="26"/>
        <v>118322298.66</v>
      </c>
      <c r="P86" s="282">
        <f t="shared" si="26"/>
        <v>0</v>
      </c>
      <c r="R86" s="579">
        <f>'County One Time Input-GROWTH'!B58</f>
        <v>0.81397077218145431</v>
      </c>
      <c r="S86" s="392">
        <f>ROUND(S$6*$R86,2)</f>
        <v>0</v>
      </c>
    </row>
    <row r="87" spans="1:19" ht="14.65" hidden="1" outlineLevel="1" thickBot="1" x14ac:dyDescent="0.5">
      <c r="A87" s="489"/>
      <c r="B87" s="522" t="s">
        <v>74</v>
      </c>
      <c r="C87" s="523"/>
      <c r="D87" s="71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3"/>
      <c r="R87" s="580"/>
      <c r="S87" s="393"/>
    </row>
    <row r="88" spans="1:19" hidden="1" outlineLevel="1" x14ac:dyDescent="0.45">
      <c r="A88" s="490" t="s">
        <v>66</v>
      </c>
      <c r="B88" s="524">
        <v>0.74815819365314751</v>
      </c>
      <c r="C88" s="525">
        <f>$C$86*B88</f>
        <v>809100464.17943883</v>
      </c>
      <c r="D88" s="76">
        <f>SUM(E88:P88)+S88</f>
        <v>775646520.28198528</v>
      </c>
      <c r="E88" s="77">
        <f t="shared" ref="E88:S88" si="27">E$86*$B88</f>
        <v>62272152.405454792</v>
      </c>
      <c r="F88" s="77">
        <f t="shared" si="27"/>
        <v>62362593.568547219</v>
      </c>
      <c r="G88" s="77">
        <f t="shared" si="27"/>
        <v>81518104.128238767</v>
      </c>
      <c r="H88" s="77">
        <f t="shared" si="27"/>
        <v>62042446.854165941</v>
      </c>
      <c r="I88" s="77">
        <f t="shared" si="27"/>
        <v>65344473.042997681</v>
      </c>
      <c r="J88" s="77">
        <f t="shared" si="27"/>
        <v>96537130.040841684</v>
      </c>
      <c r="K88" s="77">
        <f t="shared" si="27"/>
        <v>60645504.44426316</v>
      </c>
      <c r="L88" s="77">
        <f t="shared" si="27"/>
        <v>51881233.340645626</v>
      </c>
      <c r="M88" s="77">
        <f t="shared" si="27"/>
        <v>83690714.733022794</v>
      </c>
      <c r="N88" s="77">
        <f t="shared" si="27"/>
        <v>60828370.489453718</v>
      </c>
      <c r="O88" s="77">
        <f t="shared" si="27"/>
        <v>88523797.23435384</v>
      </c>
      <c r="P88" s="78">
        <f t="shared" si="27"/>
        <v>0</v>
      </c>
      <c r="R88" s="581"/>
      <c r="S88" s="394">
        <f t="shared" si="27"/>
        <v>0</v>
      </c>
    </row>
    <row r="89" spans="1:19" s="84" customFormat="1" hidden="1" outlineLevel="2" x14ac:dyDescent="0.45">
      <c r="A89" s="491"/>
      <c r="B89" s="88" t="s">
        <v>75</v>
      </c>
      <c r="C89" s="526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91"/>
      <c r="R89" s="582"/>
      <c r="S89" s="395"/>
    </row>
    <row r="90" spans="1:19" s="84" customFormat="1" hidden="1" outlineLevel="2" x14ac:dyDescent="0.45">
      <c r="A90" s="92" t="s">
        <v>68</v>
      </c>
      <c r="B90" s="527">
        <v>2.9538024408195404E-2</v>
      </c>
      <c r="C90" s="528">
        <f>C$88*$B90</f>
        <v>23899229.259614494</v>
      </c>
      <c r="D90" s="85">
        <f>SUM(E90:P90)+S90</f>
        <v>22911065.848221112</v>
      </c>
      <c r="E90" s="87">
        <f>E$88*$B90</f>
        <v>1839396.3577031877</v>
      </c>
      <c r="F90" s="87">
        <f t="shared" ref="F90:S90" si="28">F$88*$B90</f>
        <v>1842067.8109861175</v>
      </c>
      <c r="G90" s="87">
        <f t="shared" si="28"/>
        <v>2407883.7494497313</v>
      </c>
      <c r="H90" s="87">
        <f t="shared" si="28"/>
        <v>1832611.3095225198</v>
      </c>
      <c r="I90" s="87">
        <f t="shared" si="28"/>
        <v>1930146.6396847321</v>
      </c>
      <c r="J90" s="87">
        <f t="shared" si="28"/>
        <v>2851516.1034435155</v>
      </c>
      <c r="K90" s="87">
        <f t="shared" si="28"/>
        <v>1791348.390521968</v>
      </c>
      <c r="L90" s="87">
        <f t="shared" si="28"/>
        <v>1532469.1367432717</v>
      </c>
      <c r="M90" s="87">
        <f t="shared" si="28"/>
        <v>2472058.3745233458</v>
      </c>
      <c r="N90" s="87">
        <f t="shared" si="28"/>
        <v>1796749.8922282369</v>
      </c>
      <c r="O90" s="87">
        <f t="shared" si="28"/>
        <v>2614818.0834144847</v>
      </c>
      <c r="P90" s="93">
        <f t="shared" si="28"/>
        <v>0</v>
      </c>
      <c r="R90" s="583"/>
      <c r="S90" s="396">
        <f t="shared" si="28"/>
        <v>0</v>
      </c>
    </row>
    <row r="91" spans="1:19" s="84" customFormat="1" hidden="1" outlineLevel="2" x14ac:dyDescent="0.45">
      <c r="A91" s="92" t="s">
        <v>69</v>
      </c>
      <c r="B91" s="527">
        <v>4.5788473717542751E-2</v>
      </c>
      <c r="C91" s="528">
        <f t="shared" ref="C91:S92" si="29">C$88*$B91</f>
        <v>37047475.338931873</v>
      </c>
      <c r="D91" s="85">
        <f>SUM(E91:P91)+S91</f>
        <v>35515670.308035173</v>
      </c>
      <c r="E91" s="87">
        <f t="shared" si="29"/>
        <v>2851346.8137519835</v>
      </c>
      <c r="F91" s="87">
        <f t="shared" si="29"/>
        <v>2855487.9765712251</v>
      </c>
      <c r="G91" s="87">
        <f t="shared" si="29"/>
        <v>3732589.5683797742</v>
      </c>
      <c r="H91" s="87">
        <f t="shared" si="29"/>
        <v>2840828.94715402</v>
      </c>
      <c r="I91" s="87">
        <f t="shared" si="29"/>
        <v>2992023.6865159799</v>
      </c>
      <c r="J91" s="87">
        <f t="shared" si="29"/>
        <v>4420287.8416420864</v>
      </c>
      <c r="K91" s="87">
        <f t="shared" si="29"/>
        <v>2776865.086333266</v>
      </c>
      <c r="L91" s="87">
        <f t="shared" si="29"/>
        <v>2375562.4892518548</v>
      </c>
      <c r="M91" s="87">
        <f t="shared" si="29"/>
        <v>3832070.0919553819</v>
      </c>
      <c r="N91" s="87">
        <f t="shared" si="29"/>
        <v>2785238.2434373046</v>
      </c>
      <c r="O91" s="87">
        <f t="shared" si="29"/>
        <v>4053369.5630422942</v>
      </c>
      <c r="P91" s="93">
        <f t="shared" si="29"/>
        <v>0</v>
      </c>
      <c r="R91" s="583"/>
      <c r="S91" s="396">
        <f t="shared" si="29"/>
        <v>0</v>
      </c>
    </row>
    <row r="92" spans="1:19" s="84" customFormat="1" hidden="1" outlineLevel="2" x14ac:dyDescent="0.45">
      <c r="A92" s="96" t="s">
        <v>70</v>
      </c>
      <c r="B92" s="529">
        <v>0.92467350187426189</v>
      </c>
      <c r="C92" s="530">
        <f t="shared" si="29"/>
        <v>748153759.58089244</v>
      </c>
      <c r="D92" s="85">
        <f>SUM(E92:P92)+S92</f>
        <v>717219784.12572896</v>
      </c>
      <c r="E92" s="98">
        <f t="shared" si="29"/>
        <v>57581409.233999625</v>
      </c>
      <c r="F92" s="98">
        <f t="shared" si="29"/>
        <v>57665037.780989878</v>
      </c>
      <c r="G92" s="98">
        <f t="shared" si="29"/>
        <v>75377630.810409263</v>
      </c>
      <c r="H92" s="98">
        <f t="shared" si="29"/>
        <v>57369006.597489402</v>
      </c>
      <c r="I92" s="98">
        <f t="shared" si="29"/>
        <v>60422302.716796972</v>
      </c>
      <c r="J92" s="98">
        <f t="shared" si="29"/>
        <v>89265326.095756084</v>
      </c>
      <c r="K92" s="98">
        <f t="shared" si="29"/>
        <v>56077290.967407927</v>
      </c>
      <c r="L92" s="98">
        <f t="shared" si="29"/>
        <v>47973201.714650504</v>
      </c>
      <c r="M92" s="98">
        <f t="shared" si="29"/>
        <v>77386586.266544074</v>
      </c>
      <c r="N92" s="98">
        <f t="shared" si="29"/>
        <v>56246382.353788182</v>
      </c>
      <c r="O92" s="98">
        <f t="shared" si="29"/>
        <v>81855609.587897062</v>
      </c>
      <c r="P92" s="99">
        <f t="shared" si="29"/>
        <v>0</v>
      </c>
      <c r="R92" s="584"/>
      <c r="S92" s="397">
        <f t="shared" si="29"/>
        <v>0</v>
      </c>
    </row>
    <row r="93" spans="1:19" s="84" customFormat="1" hidden="1" outlineLevel="2" x14ac:dyDescent="0.45">
      <c r="A93" s="492" t="s">
        <v>76</v>
      </c>
      <c r="B93" s="531">
        <f>SUM(B90:B92)</f>
        <v>1</v>
      </c>
      <c r="C93" s="532">
        <f>SUM(C90:C92)</f>
        <v>809100464.17943883</v>
      </c>
      <c r="D93" s="100">
        <f t="shared" ref="D93:S93" si="30">SUM(D90:D92)</f>
        <v>775646520.28198528</v>
      </c>
      <c r="E93" s="100">
        <f t="shared" si="30"/>
        <v>62272152.4054548</v>
      </c>
      <c r="F93" s="100">
        <f t="shared" si="30"/>
        <v>62362593.568547219</v>
      </c>
      <c r="G93" s="100">
        <f t="shared" si="30"/>
        <v>81518104.128238767</v>
      </c>
      <c r="H93" s="100">
        <f t="shared" si="30"/>
        <v>62042446.854165941</v>
      </c>
      <c r="I93" s="100">
        <f t="shared" si="30"/>
        <v>65344473.042997688</v>
      </c>
      <c r="J93" s="100">
        <f t="shared" si="30"/>
        <v>96537130.040841684</v>
      </c>
      <c r="K93" s="100">
        <f t="shared" si="30"/>
        <v>60645504.44426316</v>
      </c>
      <c r="L93" s="100">
        <f t="shared" si="30"/>
        <v>51881233.340645634</v>
      </c>
      <c r="M93" s="100">
        <f t="shared" si="30"/>
        <v>83690714.733022809</v>
      </c>
      <c r="N93" s="100">
        <f t="shared" si="30"/>
        <v>60828370.489453726</v>
      </c>
      <c r="O93" s="100">
        <f t="shared" si="30"/>
        <v>88523797.23435384</v>
      </c>
      <c r="P93" s="101">
        <f t="shared" si="30"/>
        <v>0</v>
      </c>
      <c r="R93" s="585"/>
      <c r="S93" s="398">
        <f t="shared" si="30"/>
        <v>0</v>
      </c>
    </row>
    <row r="94" spans="1:19" ht="14.65" hidden="1" outlineLevel="1" collapsed="1" thickBot="1" x14ac:dyDescent="0.5">
      <c r="A94" s="493" t="s">
        <v>67</v>
      </c>
      <c r="B94" s="533">
        <v>0.25184180634685249</v>
      </c>
      <c r="C94" s="534">
        <f>$C$86*B94</f>
        <v>272355932.39989835</v>
      </c>
      <c r="D94" s="76">
        <f>SUM(E94:P94)+S94</f>
        <v>261094809.10801479</v>
      </c>
      <c r="E94" s="77">
        <f t="shared" ref="E94:S94" si="31">E$86*$B94</f>
        <v>20961785.194545202</v>
      </c>
      <c r="F94" s="77">
        <f t="shared" si="31"/>
        <v>20992229.111452788</v>
      </c>
      <c r="G94" s="77">
        <f t="shared" si="31"/>
        <v>27440275.021761231</v>
      </c>
      <c r="H94" s="77">
        <f t="shared" si="31"/>
        <v>20884462.695834052</v>
      </c>
      <c r="I94" s="77">
        <f t="shared" si="31"/>
        <v>21995976.607002322</v>
      </c>
      <c r="J94" s="77">
        <f t="shared" si="31"/>
        <v>32495915.18915832</v>
      </c>
      <c r="K94" s="77">
        <f t="shared" si="31"/>
        <v>20414229.925736845</v>
      </c>
      <c r="L94" s="77">
        <f t="shared" si="31"/>
        <v>17464038.529354379</v>
      </c>
      <c r="M94" s="77">
        <f t="shared" si="31"/>
        <v>28171609.896977209</v>
      </c>
      <c r="N94" s="77">
        <f t="shared" si="31"/>
        <v>20475785.510546286</v>
      </c>
      <c r="O94" s="77">
        <f t="shared" si="31"/>
        <v>29798501.425646164</v>
      </c>
      <c r="P94" s="78">
        <f t="shared" si="31"/>
        <v>0</v>
      </c>
      <c r="R94" s="581"/>
      <c r="S94" s="394">
        <f t="shared" si="31"/>
        <v>0</v>
      </c>
    </row>
    <row r="95" spans="1:19" ht="14.65" hidden="1" outlineLevel="1" thickBot="1" x14ac:dyDescent="0.5">
      <c r="A95" s="494" t="s">
        <v>78</v>
      </c>
      <c r="B95" s="535">
        <f>B88+B94</f>
        <v>1</v>
      </c>
      <c r="C95" s="536">
        <f>+C88+C94</f>
        <v>1081456396.5793371</v>
      </c>
      <c r="D95" s="70">
        <f>+D88+D94</f>
        <v>1036741329.3900001</v>
      </c>
      <c r="E95" s="70">
        <f t="shared" ref="E95:S95" si="32">+E88+E94</f>
        <v>83233937.599999994</v>
      </c>
      <c r="F95" s="70">
        <f t="shared" si="32"/>
        <v>83354822.680000007</v>
      </c>
      <c r="G95" s="70">
        <f t="shared" si="32"/>
        <v>108958379.15000001</v>
      </c>
      <c r="H95" s="70">
        <f t="shared" si="32"/>
        <v>82926909.549999997</v>
      </c>
      <c r="I95" s="70">
        <f t="shared" si="32"/>
        <v>87340449.650000006</v>
      </c>
      <c r="J95" s="70">
        <f t="shared" si="32"/>
        <v>129033045.23</v>
      </c>
      <c r="K95" s="70">
        <f t="shared" si="32"/>
        <v>81059734.370000005</v>
      </c>
      <c r="L95" s="70">
        <f t="shared" si="32"/>
        <v>69345271.870000005</v>
      </c>
      <c r="M95" s="70">
        <f t="shared" si="32"/>
        <v>111862324.63</v>
      </c>
      <c r="N95" s="70">
        <f t="shared" si="32"/>
        <v>81304156</v>
      </c>
      <c r="O95" s="70">
        <f t="shared" si="32"/>
        <v>118322298.66</v>
      </c>
      <c r="P95" s="81">
        <f t="shared" si="32"/>
        <v>0</v>
      </c>
      <c r="R95" s="586"/>
      <c r="S95" s="399">
        <f t="shared" si="32"/>
        <v>0</v>
      </c>
    </row>
    <row r="96" spans="1:19" ht="14.65" collapsed="1" thickBot="1" x14ac:dyDescent="0.5">
      <c r="A96" s="480" t="s">
        <v>79</v>
      </c>
      <c r="B96" s="537">
        <f>B80+B86</f>
        <v>1</v>
      </c>
      <c r="C96" s="538">
        <f>C80+C86</f>
        <v>1328618217.6800001</v>
      </c>
      <c r="D96" s="59">
        <f t="shared" ref="D96:P96" si="33">D80+D86</f>
        <v>1273683730.22</v>
      </c>
      <c r="E96" s="82">
        <f t="shared" si="33"/>
        <v>102256666.27</v>
      </c>
      <c r="F96" s="82">
        <f t="shared" si="33"/>
        <v>102405179.07000001</v>
      </c>
      <c r="G96" s="82">
        <f t="shared" si="33"/>
        <v>133860309.09</v>
      </c>
      <c r="H96" s="82">
        <f t="shared" si="33"/>
        <v>101879468.39</v>
      </c>
      <c r="I96" s="82">
        <f t="shared" si="33"/>
        <v>107301702.51000001</v>
      </c>
      <c r="J96" s="82">
        <f t="shared" si="33"/>
        <v>158522946.56999999</v>
      </c>
      <c r="K96" s="82">
        <f t="shared" si="33"/>
        <v>99585559.020000011</v>
      </c>
      <c r="L96" s="82">
        <f t="shared" si="33"/>
        <v>85193810.689999998</v>
      </c>
      <c r="M96" s="82">
        <f t="shared" si="33"/>
        <v>137427937.76999998</v>
      </c>
      <c r="N96" s="82">
        <f t="shared" si="33"/>
        <v>99885842.069999993</v>
      </c>
      <c r="O96" s="82">
        <f t="shared" si="33"/>
        <v>145364308.76999998</v>
      </c>
      <c r="P96" s="83">
        <f t="shared" si="33"/>
        <v>0</v>
      </c>
      <c r="R96" s="587">
        <f>R80+R86</f>
        <v>1</v>
      </c>
      <c r="S96" s="400">
        <f>S80+S86</f>
        <v>0</v>
      </c>
    </row>
    <row r="98" spans="1:19" x14ac:dyDescent="0.45">
      <c r="A98" s="84" t="s">
        <v>47</v>
      </c>
      <c r="C98" s="540">
        <f>C7</f>
        <v>5104000</v>
      </c>
    </row>
    <row r="99" spans="1:19" ht="14.65" thickBot="1" x14ac:dyDescent="0.5">
      <c r="S99" s="60" t="s">
        <v>261</v>
      </c>
    </row>
    <row r="100" spans="1:19" ht="43.15" thickBot="1" x14ac:dyDescent="0.5">
      <c r="A100" s="480" t="s">
        <v>142</v>
      </c>
      <c r="B100" s="541" t="s">
        <v>143</v>
      </c>
      <c r="C100" s="541" t="s">
        <v>39</v>
      </c>
      <c r="D100" s="57" t="str">
        <f>D3</f>
        <v>RECEIPTS THROUGH JULY</v>
      </c>
      <c r="E100" s="27" t="s">
        <v>7</v>
      </c>
      <c r="F100" s="27" t="s">
        <v>8</v>
      </c>
      <c r="G100" s="27" t="s">
        <v>9</v>
      </c>
      <c r="H100" s="27" t="s">
        <v>10</v>
      </c>
      <c r="I100" s="27" t="s">
        <v>11</v>
      </c>
      <c r="J100" s="27" t="s">
        <v>12</v>
      </c>
      <c r="K100" s="27" t="s">
        <v>13</v>
      </c>
      <c r="L100" s="27" t="s">
        <v>14</v>
      </c>
      <c r="M100" s="27" t="s">
        <v>15</v>
      </c>
      <c r="N100" s="27" t="s">
        <v>16</v>
      </c>
      <c r="O100" s="27" t="s">
        <v>17</v>
      </c>
      <c r="P100" s="28" t="s">
        <v>18</v>
      </c>
      <c r="S100" s="386" t="s">
        <v>172</v>
      </c>
    </row>
    <row r="101" spans="1:19" ht="4.5" customHeight="1" thickBot="1" x14ac:dyDescent="0.5">
      <c r="A101" s="481"/>
      <c r="B101" s="542"/>
      <c r="C101" s="542"/>
      <c r="D101" s="41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3"/>
      <c r="S101" s="387"/>
    </row>
    <row r="102" spans="1:19" x14ac:dyDescent="0.45">
      <c r="A102" s="483" t="s">
        <v>144</v>
      </c>
      <c r="B102" s="543">
        <f t="shared" ref="B102:B107" si="34">+C102/C$108</f>
        <v>0.13473060344827587</v>
      </c>
      <c r="C102" s="454">
        <f>'County One Time Input-BASE'!B14</f>
        <v>687665</v>
      </c>
      <c r="D102" s="254">
        <f t="shared" ref="D102:D107" si="35">SUM(E102:P102)</f>
        <v>630359.57839321112</v>
      </c>
      <c r="E102" s="260">
        <f>E$7*$B102</f>
        <v>57305.416217564656</v>
      </c>
      <c r="F102" s="260">
        <f t="shared" ref="F102:S102" si="36">F$7*$B102</f>
        <v>57305.416217564656</v>
      </c>
      <c r="G102" s="260">
        <f t="shared" si="36"/>
        <v>57305.416217564656</v>
      </c>
      <c r="H102" s="260">
        <f t="shared" si="36"/>
        <v>57305.416217564656</v>
      </c>
      <c r="I102" s="260">
        <f t="shared" si="36"/>
        <v>57305.416217564656</v>
      </c>
      <c r="J102" s="260">
        <f t="shared" si="36"/>
        <v>57305.416217564656</v>
      </c>
      <c r="K102" s="260">
        <f t="shared" si="36"/>
        <v>57305.416217564656</v>
      </c>
      <c r="L102" s="260">
        <f t="shared" si="36"/>
        <v>57305.416217564656</v>
      </c>
      <c r="M102" s="260">
        <f t="shared" si="36"/>
        <v>57305.416217564656</v>
      </c>
      <c r="N102" s="260">
        <f t="shared" si="36"/>
        <v>57305.416217564656</v>
      </c>
      <c r="O102" s="260">
        <f t="shared" si="36"/>
        <v>57305.416217564656</v>
      </c>
      <c r="P102" s="261">
        <f t="shared" si="36"/>
        <v>0</v>
      </c>
      <c r="S102" s="389">
        <f t="shared" si="36"/>
        <v>0</v>
      </c>
    </row>
    <row r="103" spans="1:19" x14ac:dyDescent="0.45">
      <c r="A103" s="483" t="s">
        <v>145</v>
      </c>
      <c r="B103" s="543">
        <f t="shared" si="34"/>
        <v>0.14272825235109718</v>
      </c>
      <c r="C103" s="454">
        <f>'County One Time Input-BASE'!B15</f>
        <v>728485</v>
      </c>
      <c r="D103" s="259">
        <f t="shared" si="35"/>
        <v>667777.91143329733</v>
      </c>
      <c r="E103" s="260">
        <f t="shared" ref="E103:S107" si="37">E$7*$B103</f>
        <v>60707.082857572495</v>
      </c>
      <c r="F103" s="260">
        <f t="shared" si="37"/>
        <v>60707.082857572495</v>
      </c>
      <c r="G103" s="260">
        <f t="shared" si="37"/>
        <v>60707.082857572495</v>
      </c>
      <c r="H103" s="260">
        <f t="shared" si="37"/>
        <v>60707.082857572495</v>
      </c>
      <c r="I103" s="260">
        <f t="shared" si="37"/>
        <v>60707.082857572495</v>
      </c>
      <c r="J103" s="260">
        <f t="shared" si="37"/>
        <v>60707.082857572495</v>
      </c>
      <c r="K103" s="260">
        <f t="shared" si="37"/>
        <v>60707.082857572495</v>
      </c>
      <c r="L103" s="260">
        <f t="shared" si="37"/>
        <v>60707.082857572495</v>
      </c>
      <c r="M103" s="260">
        <f t="shared" si="37"/>
        <v>60707.082857572495</v>
      </c>
      <c r="N103" s="260">
        <f t="shared" si="37"/>
        <v>60707.082857572495</v>
      </c>
      <c r="O103" s="260">
        <f t="shared" si="37"/>
        <v>60707.082857572495</v>
      </c>
      <c r="P103" s="261">
        <f t="shared" si="37"/>
        <v>0</v>
      </c>
      <c r="S103" s="389">
        <f t="shared" si="37"/>
        <v>0</v>
      </c>
    </row>
    <row r="104" spans="1:19" x14ac:dyDescent="0.45">
      <c r="A104" s="483" t="s">
        <v>146</v>
      </c>
      <c r="B104" s="543">
        <f t="shared" si="34"/>
        <v>0.41780721003134796</v>
      </c>
      <c r="C104" s="454">
        <f>'County One Time Input-BASE'!B16</f>
        <v>2132488</v>
      </c>
      <c r="D104" s="259">
        <f t="shared" si="35"/>
        <v>1954780.6513470686</v>
      </c>
      <c r="E104" s="260">
        <f t="shared" si="37"/>
        <v>177707.33194064265</v>
      </c>
      <c r="F104" s="260">
        <f t="shared" si="37"/>
        <v>177707.33194064265</v>
      </c>
      <c r="G104" s="260">
        <f t="shared" si="37"/>
        <v>177707.33194064265</v>
      </c>
      <c r="H104" s="260">
        <f t="shared" si="37"/>
        <v>177707.33194064265</v>
      </c>
      <c r="I104" s="260">
        <f t="shared" si="37"/>
        <v>177707.33194064265</v>
      </c>
      <c r="J104" s="260">
        <f t="shared" si="37"/>
        <v>177707.33194064265</v>
      </c>
      <c r="K104" s="260">
        <f t="shared" si="37"/>
        <v>177707.33194064265</v>
      </c>
      <c r="L104" s="260">
        <f t="shared" si="37"/>
        <v>177707.33194064265</v>
      </c>
      <c r="M104" s="260">
        <f t="shared" si="37"/>
        <v>177707.33194064265</v>
      </c>
      <c r="N104" s="260">
        <f t="shared" si="37"/>
        <v>177707.33194064265</v>
      </c>
      <c r="O104" s="260">
        <f t="shared" si="37"/>
        <v>177707.33194064265</v>
      </c>
      <c r="P104" s="261">
        <f t="shared" si="37"/>
        <v>0</v>
      </c>
      <c r="S104" s="389">
        <f t="shared" si="37"/>
        <v>0</v>
      </c>
    </row>
    <row r="105" spans="1:19" x14ac:dyDescent="0.45">
      <c r="A105" s="483" t="s">
        <v>147</v>
      </c>
      <c r="B105" s="543">
        <f t="shared" si="34"/>
        <v>0.10853056426332289</v>
      </c>
      <c r="C105" s="454">
        <f>'County One Time Input-BASE'!B17</f>
        <v>553940</v>
      </c>
      <c r="D105" s="259">
        <f t="shared" si="35"/>
        <v>507778.32935387921</v>
      </c>
      <c r="E105" s="260">
        <f t="shared" si="37"/>
        <v>46161.666304898121</v>
      </c>
      <c r="F105" s="260">
        <f t="shared" si="37"/>
        <v>46161.666304898121</v>
      </c>
      <c r="G105" s="260">
        <f t="shared" si="37"/>
        <v>46161.666304898121</v>
      </c>
      <c r="H105" s="260">
        <f t="shared" si="37"/>
        <v>46161.666304898121</v>
      </c>
      <c r="I105" s="260">
        <f t="shared" si="37"/>
        <v>46161.666304898121</v>
      </c>
      <c r="J105" s="260">
        <f t="shared" si="37"/>
        <v>46161.666304898121</v>
      </c>
      <c r="K105" s="260">
        <f t="shared" si="37"/>
        <v>46161.666304898121</v>
      </c>
      <c r="L105" s="260">
        <f t="shared" si="37"/>
        <v>46161.666304898121</v>
      </c>
      <c r="M105" s="260">
        <f t="shared" si="37"/>
        <v>46161.666304898121</v>
      </c>
      <c r="N105" s="260">
        <f t="shared" si="37"/>
        <v>46161.666304898121</v>
      </c>
      <c r="O105" s="260">
        <f t="shared" si="37"/>
        <v>46161.666304898121</v>
      </c>
      <c r="P105" s="261">
        <f t="shared" si="37"/>
        <v>0</v>
      </c>
      <c r="S105" s="389">
        <f t="shared" si="37"/>
        <v>0</v>
      </c>
    </row>
    <row r="106" spans="1:19" x14ac:dyDescent="0.45">
      <c r="A106" s="483" t="s">
        <v>148</v>
      </c>
      <c r="B106" s="543">
        <f t="shared" si="34"/>
        <v>3.5714341692789968E-2</v>
      </c>
      <c r="C106" s="454">
        <f>'County One Time Input-BASE'!B18</f>
        <v>182286</v>
      </c>
      <c r="D106" s="259">
        <f t="shared" si="35"/>
        <v>167095.49869047417</v>
      </c>
      <c r="E106" s="260">
        <f t="shared" si="37"/>
        <v>15190.499880952195</v>
      </c>
      <c r="F106" s="260">
        <f t="shared" si="37"/>
        <v>15190.499880952195</v>
      </c>
      <c r="G106" s="260">
        <f t="shared" si="37"/>
        <v>15190.499880952195</v>
      </c>
      <c r="H106" s="260">
        <f t="shared" si="37"/>
        <v>15190.499880952195</v>
      </c>
      <c r="I106" s="260">
        <f t="shared" si="37"/>
        <v>15190.499880952195</v>
      </c>
      <c r="J106" s="260">
        <f t="shared" si="37"/>
        <v>15190.499880952195</v>
      </c>
      <c r="K106" s="260">
        <f t="shared" si="37"/>
        <v>15190.499880952195</v>
      </c>
      <c r="L106" s="260">
        <f t="shared" si="37"/>
        <v>15190.499880952195</v>
      </c>
      <c r="M106" s="260">
        <f t="shared" si="37"/>
        <v>15190.499880952195</v>
      </c>
      <c r="N106" s="260">
        <f t="shared" si="37"/>
        <v>15190.499880952195</v>
      </c>
      <c r="O106" s="260">
        <f t="shared" si="37"/>
        <v>15190.499880952195</v>
      </c>
      <c r="P106" s="261">
        <f t="shared" si="37"/>
        <v>0</v>
      </c>
      <c r="S106" s="389">
        <f t="shared" si="37"/>
        <v>0</v>
      </c>
    </row>
    <row r="107" spans="1:19" ht="14.65" thickBot="1" x14ac:dyDescent="0.5">
      <c r="A107" s="483" t="s">
        <v>149</v>
      </c>
      <c r="B107" s="544">
        <f t="shared" si="34"/>
        <v>0.16048902821316616</v>
      </c>
      <c r="C107" s="454">
        <f>'County One Time Input-BASE'!B19</f>
        <v>819136</v>
      </c>
      <c r="D107" s="259">
        <f t="shared" si="35"/>
        <v>750874.66078206908</v>
      </c>
      <c r="E107" s="260">
        <f t="shared" si="37"/>
        <v>68261.332798369913</v>
      </c>
      <c r="F107" s="260">
        <f t="shared" si="37"/>
        <v>68261.332798369913</v>
      </c>
      <c r="G107" s="260">
        <f t="shared" si="37"/>
        <v>68261.332798369913</v>
      </c>
      <c r="H107" s="260">
        <f t="shared" si="37"/>
        <v>68261.332798369913</v>
      </c>
      <c r="I107" s="260">
        <f t="shared" si="37"/>
        <v>68261.332798369913</v>
      </c>
      <c r="J107" s="260">
        <f t="shared" si="37"/>
        <v>68261.332798369913</v>
      </c>
      <c r="K107" s="260">
        <f t="shared" si="37"/>
        <v>68261.332798369913</v>
      </c>
      <c r="L107" s="260">
        <f t="shared" si="37"/>
        <v>68261.332798369913</v>
      </c>
      <c r="M107" s="260">
        <f t="shared" si="37"/>
        <v>68261.332798369913</v>
      </c>
      <c r="N107" s="260">
        <f t="shared" si="37"/>
        <v>68261.332798369913</v>
      </c>
      <c r="O107" s="260">
        <f t="shared" si="37"/>
        <v>68261.332798369913</v>
      </c>
      <c r="P107" s="261">
        <f t="shared" si="37"/>
        <v>0</v>
      </c>
      <c r="S107" s="389">
        <f t="shared" si="37"/>
        <v>0</v>
      </c>
    </row>
    <row r="108" spans="1:19" ht="14.65" collapsed="1" thickBot="1" x14ac:dyDescent="0.5">
      <c r="A108" s="480" t="s">
        <v>150</v>
      </c>
      <c r="B108" s="537">
        <f>SUM(B102:B107)</f>
        <v>1</v>
      </c>
      <c r="C108" s="538">
        <f>SUM(C102:C107)</f>
        <v>5104000</v>
      </c>
      <c r="D108" s="59">
        <f>SUM(D102:D107)</f>
        <v>4678666.63</v>
      </c>
      <c r="E108" s="82">
        <f>SUM(E102:E107)</f>
        <v>425333.33</v>
      </c>
      <c r="F108" s="82">
        <f t="shared" ref="F108:S108" si="38">SUM(F102:F107)</f>
        <v>425333.33</v>
      </c>
      <c r="G108" s="82">
        <f t="shared" si="38"/>
        <v>425333.33</v>
      </c>
      <c r="H108" s="82">
        <f t="shared" si="38"/>
        <v>425333.33</v>
      </c>
      <c r="I108" s="82">
        <f t="shared" si="38"/>
        <v>425333.33</v>
      </c>
      <c r="J108" s="82">
        <f t="shared" si="38"/>
        <v>425333.33</v>
      </c>
      <c r="K108" s="82">
        <f t="shared" si="38"/>
        <v>425333.33</v>
      </c>
      <c r="L108" s="82">
        <f t="shared" si="38"/>
        <v>425333.33</v>
      </c>
      <c r="M108" s="82">
        <f t="shared" si="38"/>
        <v>425333.33</v>
      </c>
      <c r="N108" s="82">
        <f t="shared" si="38"/>
        <v>425333.33</v>
      </c>
      <c r="O108" s="82">
        <f t="shared" si="38"/>
        <v>425333.33</v>
      </c>
      <c r="P108" s="83">
        <f t="shared" si="38"/>
        <v>0</v>
      </c>
      <c r="S108" s="400">
        <f t="shared" si="38"/>
        <v>0</v>
      </c>
    </row>
  </sheetData>
  <phoneticPr fontId="18" type="noConversion"/>
  <dataValidations disablePrompts="1" count="1">
    <dataValidation allowBlank="1" showInputMessage="1" showErrorMessage="1" prompt="Please spell out the month, do not abbreviate" sqref="D1"/>
  </dataValidations>
  <hyperlinks>
    <hyperlink ref="A5" r:id="rId1" display="https://sco.ca.gov/ard_payments_lrf_recon.html"/>
    <hyperlink ref="A14" r:id="rId2" display="https://sco.ca.gov/ard_payments_lrf_recon.html"/>
    <hyperlink ref="A6:A7" r:id="rId3" display="PROTECTIVE SERVICES"/>
    <hyperlink ref="A15:A17" r:id="rId4" display="TRIAL COURT SECURITY"/>
    <hyperlink ref="A6" r:id="rId5" display="https://sco.ca.gov/ard_payments_lrf_recon.html"/>
    <hyperlink ref="A7" r:id="rId6" display="https://sco.ca.gov/ard_payments_lrf_recon.html"/>
    <hyperlink ref="A15" r:id="rId7" display="https://sco.ca.gov/ard_payments_lrf_recon.html"/>
    <hyperlink ref="A16" r:id="rId8" display="https://sco.ca.gov/ard_payments_lrf_recon.html"/>
    <hyperlink ref="A17" r:id="rId9" display="https://sco.ca.gov/ard_payments_lrf_recon.html"/>
  </hyperlinks>
  <pageMargins left="0.5" right="0.5" top="0.5" bottom="0.5" header="0.25" footer="0"/>
  <pageSetup paperSize="5" scale="60" fitToHeight="2" orientation="landscape" r:id="rId10"/>
  <headerFooter alignWithMargins="0">
    <oddHeader>&amp;C&amp;"Calibri,Bold"&amp;14&amp;A</oddHeader>
    <oddFooter>&amp;L&amp;Z&amp;F &amp;A</oddFooter>
  </headerFooter>
  <rowBreaks count="1" manualBreakCount="1">
    <brk id="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topLeftCell="B1" workbookViewId="0">
      <selection activeCell="I27" sqref="I27"/>
    </sheetView>
  </sheetViews>
  <sheetFormatPr defaultRowHeight="14.25" outlineLevelRow="2" x14ac:dyDescent="0.45"/>
  <cols>
    <col min="1" max="1" width="30.1328125" customWidth="1"/>
    <col min="2" max="3" width="16.1328125" customWidth="1"/>
    <col min="4" max="4" width="17.3984375" bestFit="1" customWidth="1"/>
    <col min="5" max="5" width="13.73046875" bestFit="1" customWidth="1"/>
    <col min="6" max="7" width="12.73046875" customWidth="1"/>
    <col min="8" max="8" width="13.73046875" bestFit="1" customWidth="1"/>
    <col min="9" max="16" width="12.73046875" customWidth="1"/>
    <col min="18" max="18" width="9.86328125" customWidth="1"/>
    <col min="19" max="19" width="12.59765625" customWidth="1"/>
  </cols>
  <sheetData>
    <row r="1" spans="1:19" ht="16.149999999999999" thickBot="1" x14ac:dyDescent="0.5">
      <c r="A1" s="23" t="s">
        <v>19</v>
      </c>
      <c r="D1" s="237" t="str">
        <f>'Monthly Receipts Input'!D1</f>
        <v>JULY</v>
      </c>
      <c r="G1" s="24" t="s">
        <v>94</v>
      </c>
      <c r="Q1" s="354" t="s">
        <v>161</v>
      </c>
      <c r="R1" s="354"/>
      <c r="S1" s="413">
        <f>'Monthly Receipts Input'!S1</f>
        <v>0</v>
      </c>
    </row>
    <row r="2" spans="1:19" ht="14.65" thickBot="1" x14ac:dyDescent="0.5">
      <c r="R2" s="428">
        <f>'County One Time Input-GROWTH'!C6</f>
        <v>0.65</v>
      </c>
    </row>
    <row r="3" spans="1:19" s="29" customFormat="1" ht="28.9" thickBot="1" x14ac:dyDescent="0.5">
      <c r="A3" s="231" t="s">
        <v>21</v>
      </c>
      <c r="B3" s="232" t="s">
        <v>42</v>
      </c>
      <c r="C3" s="232" t="s">
        <v>22</v>
      </c>
      <c r="D3" s="233" t="str">
        <f>CONCATENATE("RECEIPTS THROUGH"," ",D1)</f>
        <v>RECEIPTS THROUGH JULY</v>
      </c>
      <c r="E3" s="234" t="s">
        <v>7</v>
      </c>
      <c r="F3" s="234" t="s">
        <v>8</v>
      </c>
      <c r="G3" s="234" t="s">
        <v>9</v>
      </c>
      <c r="H3" s="234" t="s">
        <v>10</v>
      </c>
      <c r="I3" s="234" t="s">
        <v>11</v>
      </c>
      <c r="J3" s="234" t="s">
        <v>12</v>
      </c>
      <c r="K3" s="234" t="s">
        <v>13</v>
      </c>
      <c r="L3" s="234" t="s">
        <v>14</v>
      </c>
      <c r="M3" s="234" t="s">
        <v>15</v>
      </c>
      <c r="N3" s="234" t="s">
        <v>16</v>
      </c>
      <c r="O3" s="234" t="s">
        <v>17</v>
      </c>
      <c r="P3" s="235" t="s">
        <v>18</v>
      </c>
      <c r="R3" s="412" t="s">
        <v>175</v>
      </c>
      <c r="S3" s="412" t="s">
        <v>173</v>
      </c>
    </row>
    <row r="4" spans="1:19" ht="5.25" customHeight="1" thickBot="1" x14ac:dyDescent="0.5">
      <c r="A4" s="30"/>
      <c r="B4" s="31"/>
      <c r="C4" s="44"/>
      <c r="D4" s="30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R4" s="382"/>
      <c r="S4" s="382"/>
    </row>
    <row r="5" spans="1:19" x14ac:dyDescent="0.45">
      <c r="A5" s="712" t="s">
        <v>83</v>
      </c>
      <c r="B5" s="8">
        <f>'County One Time Input-BASE'!C11</f>
        <v>0.62867065617841666</v>
      </c>
      <c r="C5" s="34">
        <f>'County One Time Input-BASE'!B11</f>
        <v>2258027908.91605</v>
      </c>
      <c r="D5" s="35">
        <f>SUM(E5:P5)+S5</f>
        <v>2164305417.54</v>
      </c>
      <c r="E5" s="148">
        <f>'Monthly Receipts Input'!E5</f>
        <v>173843667.94</v>
      </c>
      <c r="F5" s="148">
        <f>'Monthly Receipts Input'!F5</f>
        <v>174095104.50999999</v>
      </c>
      <c r="G5" s="148">
        <f>'Monthly Receipts Input'!G5</f>
        <v>227349571.69</v>
      </c>
      <c r="H5" s="148">
        <f>'Monthly Receipts Input'!H5</f>
        <v>173205060.75999999</v>
      </c>
      <c r="I5" s="148">
        <f>'Monthly Receipts Input'!I5</f>
        <v>182385063.77000001</v>
      </c>
      <c r="J5" s="148">
        <f>'Monthly Receipts Input'!J5</f>
        <v>269104147.74000001</v>
      </c>
      <c r="K5" s="148">
        <f>'Monthly Receipts Input'!K5</f>
        <v>169321404.22</v>
      </c>
      <c r="L5" s="148">
        <f>'Monthly Receipts Input'!L5</f>
        <v>144955747.83000001</v>
      </c>
      <c r="M5" s="148">
        <f>'Monthly Receipts Input'!M5</f>
        <v>233389672.75</v>
      </c>
      <c r="N5" s="148">
        <f>'Monthly Receipts Input'!N5</f>
        <v>169829792.31</v>
      </c>
      <c r="O5" s="148">
        <f>'Monthly Receipts Input'!O5</f>
        <v>246826184.02000001</v>
      </c>
      <c r="P5" s="149">
        <f>'Monthly Receipts Input'!P5</f>
        <v>0</v>
      </c>
      <c r="R5" s="430">
        <f>'Monthly Receipts Input'!R5</f>
        <v>0.45</v>
      </c>
      <c r="S5" s="414">
        <f>'Monthly Receipts Input'!S5</f>
        <v>0</v>
      </c>
    </row>
    <row r="6" spans="1:19" x14ac:dyDescent="0.45">
      <c r="A6" s="713" t="s">
        <v>84</v>
      </c>
      <c r="B6" s="8">
        <f>'County One Time Input-BASE'!C12</f>
        <v>0.3699083095569205</v>
      </c>
      <c r="C6" s="34">
        <f>'County One Time Input-BASE'!B12</f>
        <v>1328618217.6800001</v>
      </c>
      <c r="D6" s="36">
        <f>SUM(E6:P6)+S6</f>
        <v>1273683730.2199998</v>
      </c>
      <c r="E6" s="148">
        <f>'Monthly Receipts Input'!E6</f>
        <v>102256666.27</v>
      </c>
      <c r="F6" s="148">
        <f>'Monthly Receipts Input'!F6</f>
        <v>102405179.06999999</v>
      </c>
      <c r="G6" s="148">
        <f>'Monthly Receipts Input'!G6</f>
        <v>133860309.09</v>
      </c>
      <c r="H6" s="148">
        <f>'Monthly Receipts Input'!H6</f>
        <v>101879468.39</v>
      </c>
      <c r="I6" s="148">
        <f>'Monthly Receipts Input'!I6</f>
        <v>107301702.51000001</v>
      </c>
      <c r="J6" s="148">
        <f>'Monthly Receipts Input'!J6</f>
        <v>158522946.56999999</v>
      </c>
      <c r="K6" s="148">
        <f>'Monthly Receipts Input'!K6</f>
        <v>99585559.019999996</v>
      </c>
      <c r="L6" s="148">
        <f>'Monthly Receipts Input'!L6</f>
        <v>85193810.689999998</v>
      </c>
      <c r="M6" s="148">
        <f>'Monthly Receipts Input'!M6</f>
        <v>137427937.76999998</v>
      </c>
      <c r="N6" s="148">
        <f>'Monthly Receipts Input'!N6</f>
        <v>99885842.070000008</v>
      </c>
      <c r="O6" s="148">
        <f>'Monthly Receipts Input'!O6</f>
        <v>145364308.76999998</v>
      </c>
      <c r="P6" s="149">
        <f>'Monthly Receipts Input'!P6</f>
        <v>0</v>
      </c>
      <c r="R6" s="430">
        <f>'Monthly Receipts Input'!R6</f>
        <v>0.5</v>
      </c>
      <c r="S6" s="415">
        <f>'Monthly Receipts Input'!S6</f>
        <v>0</v>
      </c>
    </row>
    <row r="7" spans="1:19" ht="14.65" thickBot="1" x14ac:dyDescent="0.5">
      <c r="A7" s="715" t="s">
        <v>88</v>
      </c>
      <c r="B7" s="8">
        <f>'County One Time Input-BASE'!C13</f>
        <v>1.4210342646628175E-3</v>
      </c>
      <c r="C7" s="34">
        <f>'County One Time Input-BASE'!B13</f>
        <v>5104000</v>
      </c>
      <c r="D7" s="49">
        <f>SUM(E7:P7)+S7</f>
        <v>4678666.63</v>
      </c>
      <c r="E7" s="148">
        <f>'Monthly Receipts Input'!E7</f>
        <v>425333.33</v>
      </c>
      <c r="F7" s="148">
        <f>'Monthly Receipts Input'!F7</f>
        <v>425333.33</v>
      </c>
      <c r="G7" s="148">
        <f>'Monthly Receipts Input'!G7</f>
        <v>425333.33</v>
      </c>
      <c r="H7" s="148">
        <f>'Monthly Receipts Input'!H7</f>
        <v>425333.33</v>
      </c>
      <c r="I7" s="148">
        <f>'Monthly Receipts Input'!I7</f>
        <v>425333.33</v>
      </c>
      <c r="J7" s="148">
        <f>'Monthly Receipts Input'!J7</f>
        <v>425333.33</v>
      </c>
      <c r="K7" s="148">
        <f>'Monthly Receipts Input'!K7</f>
        <v>425333.33</v>
      </c>
      <c r="L7" s="148">
        <f>'Monthly Receipts Input'!L7</f>
        <v>425333.33</v>
      </c>
      <c r="M7" s="148">
        <f>'Monthly Receipts Input'!M7</f>
        <v>425333.33</v>
      </c>
      <c r="N7" s="148">
        <f>'Monthly Receipts Input'!N7</f>
        <v>425333.33</v>
      </c>
      <c r="O7" s="148">
        <f>'Monthly Receipts Input'!O7</f>
        <v>425333.33</v>
      </c>
      <c r="P7" s="149">
        <f>'Monthly Receipts Input'!P7</f>
        <v>0</v>
      </c>
      <c r="R7" s="431">
        <f>'Monthly Receipts Input'!R7</f>
        <v>0</v>
      </c>
      <c r="S7" s="416">
        <f>'Monthly Receipts Input'!S7</f>
        <v>0</v>
      </c>
    </row>
    <row r="8" spans="1:19" ht="14.65" thickBot="1" x14ac:dyDescent="0.5">
      <c r="A8" s="50" t="s">
        <v>24</v>
      </c>
      <c r="B8" s="51">
        <f>SUM(B5:B7)</f>
        <v>1</v>
      </c>
      <c r="C8" s="52">
        <f>SUM(C5:C7)</f>
        <v>3591750126.5960503</v>
      </c>
      <c r="D8" s="103">
        <f>SUM(E8:P8)+S8</f>
        <v>3442667814.3899999</v>
      </c>
      <c r="E8" s="53">
        <f t="shared" ref="E8:P8" si="0">SUM(E5:E7)</f>
        <v>276525667.53999996</v>
      </c>
      <c r="F8" s="53">
        <f t="shared" si="0"/>
        <v>276925616.90999997</v>
      </c>
      <c r="G8" s="53">
        <f t="shared" si="0"/>
        <v>361635214.10999995</v>
      </c>
      <c r="H8" s="53">
        <f t="shared" si="0"/>
        <v>275509862.47999996</v>
      </c>
      <c r="I8" s="53">
        <f t="shared" si="0"/>
        <v>290112099.61000001</v>
      </c>
      <c r="J8" s="53">
        <f t="shared" si="0"/>
        <v>428052427.63999999</v>
      </c>
      <c r="K8" s="53">
        <f t="shared" si="0"/>
        <v>269332296.56999999</v>
      </c>
      <c r="L8" s="53">
        <f t="shared" si="0"/>
        <v>230574891.85000002</v>
      </c>
      <c r="M8" s="53">
        <f t="shared" si="0"/>
        <v>371242943.84999996</v>
      </c>
      <c r="N8" s="53">
        <f t="shared" si="0"/>
        <v>270140967.70999998</v>
      </c>
      <c r="O8" s="53">
        <f t="shared" si="0"/>
        <v>392615826.11999995</v>
      </c>
      <c r="P8" s="54">
        <f t="shared" si="0"/>
        <v>0</v>
      </c>
      <c r="R8" s="429"/>
      <c r="S8" s="417">
        <f>SUM(S5:S7)</f>
        <v>0</v>
      </c>
    </row>
    <row r="9" spans="1:19" x14ac:dyDescent="0.45">
      <c r="A9" s="106"/>
      <c r="B9" s="107"/>
      <c r="C9" s="108"/>
      <c r="D9" s="121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</row>
    <row r="10" spans="1:19" x14ac:dyDescent="0.45">
      <c r="A10" s="106"/>
      <c r="B10" s="107"/>
      <c r="C10" s="108"/>
      <c r="D10" s="121"/>
      <c r="E10" s="110"/>
      <c r="F10" s="110"/>
      <c r="G10" s="24" t="str">
        <f>CONCATENATE('County One Time Input-BASE'!C2," County Receipts - SUPPORT SERVICES ACCOUNT")</f>
        <v>San Mateo County Receipts - SUPPORT SERVICES ACCOUNT</v>
      </c>
      <c r="H10" s="110"/>
      <c r="I10" s="110"/>
      <c r="J10" s="110"/>
      <c r="K10" s="110"/>
      <c r="L10" s="110"/>
      <c r="M10" s="110"/>
      <c r="N10" s="110"/>
      <c r="O10" s="110"/>
      <c r="P10" s="110"/>
    </row>
    <row r="11" spans="1:19" ht="14.65" thickBot="1" x14ac:dyDescent="0.5">
      <c r="A11" s="106"/>
      <c r="B11" s="107"/>
      <c r="C11" s="108"/>
      <c r="D11" s="127"/>
      <c r="E11" s="619" t="s">
        <v>285</v>
      </c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</row>
    <row r="12" spans="1:19" s="29" customFormat="1" ht="28.9" thickBot="1" x14ac:dyDescent="0.5">
      <c r="A12" s="699" t="s">
        <v>21</v>
      </c>
      <c r="B12" s="703" t="str">
        <f>CONCATENATE('County One Time Input-BASE'!C2," County % Distribution")</f>
        <v>San Mateo County % Distribution</v>
      </c>
      <c r="C12" s="26" t="str">
        <f>CONCATENATE('County One Time Input-BASE'!C2," County Portion")</f>
        <v>San Mateo County Portion</v>
      </c>
      <c r="D12" s="58" t="str">
        <f>CONCATENATE("RECEIPTS THROUGH"," ",D1)</f>
        <v>RECEIPTS THROUGH JULY</v>
      </c>
      <c r="E12" s="27" t="s">
        <v>7</v>
      </c>
      <c r="F12" s="27" t="s">
        <v>8</v>
      </c>
      <c r="G12" s="27" t="s">
        <v>9</v>
      </c>
      <c r="H12" s="27" t="s">
        <v>10</v>
      </c>
      <c r="I12" s="27" t="s">
        <v>11</v>
      </c>
      <c r="J12" s="27" t="s">
        <v>12</v>
      </c>
      <c r="K12" s="27" t="s">
        <v>13</v>
      </c>
      <c r="L12" s="27" t="s">
        <v>14</v>
      </c>
      <c r="M12" s="27" t="s">
        <v>15</v>
      </c>
      <c r="N12" s="27" t="s">
        <v>16</v>
      </c>
      <c r="O12" s="27" t="s">
        <v>17</v>
      </c>
      <c r="P12" s="28" t="s">
        <v>18</v>
      </c>
      <c r="R12" s="412" t="s">
        <v>175</v>
      </c>
      <c r="S12" s="412" t="s">
        <v>173</v>
      </c>
    </row>
    <row r="13" spans="1:19" ht="5.25" customHeight="1" thickBot="1" x14ac:dyDescent="0.5">
      <c r="A13" s="700"/>
      <c r="B13" s="700"/>
      <c r="C13" s="112"/>
      <c r="D13" s="111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4"/>
      <c r="R13" s="382"/>
      <c r="S13" s="382"/>
    </row>
    <row r="14" spans="1:19" x14ac:dyDescent="0.45">
      <c r="A14" s="701" t="s">
        <v>83</v>
      </c>
      <c r="B14" s="704">
        <f>'County One Time Input-BASE'!F11</f>
        <v>1.00915E-2</v>
      </c>
      <c r="C14" s="134">
        <f>C5*B14</f>
        <v>22786888.642826319</v>
      </c>
      <c r="D14" s="35">
        <f>SUM(E14:P14)+S14</f>
        <v>21841088.116216104</v>
      </c>
      <c r="E14" s="707">
        <v>1752124.14</v>
      </c>
      <c r="F14" s="707">
        <v>1754658.3</v>
      </c>
      <c r="G14" s="707">
        <v>2291395.9300000002</v>
      </c>
      <c r="H14" s="707">
        <f>H5*$B$14+3671.98</f>
        <v>1751570.8506595399</v>
      </c>
      <c r="I14" s="707">
        <f>I5*$B$14+3671.97</f>
        <v>1844210.8410349551</v>
      </c>
      <c r="J14" s="143">
        <f t="shared" ref="J14:N14" si="1">J5*$B$14</f>
        <v>2715664.5069182101</v>
      </c>
      <c r="K14" s="143">
        <f t="shared" si="1"/>
        <v>1708706.95068613</v>
      </c>
      <c r="L14" s="143">
        <f t="shared" si="1"/>
        <v>1462820.929226445</v>
      </c>
      <c r="M14" s="143">
        <f t="shared" si="1"/>
        <v>2355251.8825566252</v>
      </c>
      <c r="N14" s="143">
        <f t="shared" si="1"/>
        <v>1713837.349096365</v>
      </c>
      <c r="O14" s="143">
        <f t="shared" ref="O14:P14" si="2">O5*$B$14</f>
        <v>2490846.4360378301</v>
      </c>
      <c r="P14" s="144">
        <f t="shared" si="2"/>
        <v>0</v>
      </c>
      <c r="R14" s="430"/>
      <c r="S14" s="144">
        <f>S19+S20+S21</f>
        <v>0</v>
      </c>
    </row>
    <row r="15" spans="1:19" x14ac:dyDescent="0.45">
      <c r="A15" s="714" t="s">
        <v>84</v>
      </c>
      <c r="B15" s="704">
        <f>'County One Time Input-BASE'!F12</f>
        <v>1.0260501999999999E-2</v>
      </c>
      <c r="C15" s="34">
        <f>C6*B15</f>
        <v>13632289.879742075</v>
      </c>
      <c r="D15" s="36">
        <f>SUM(E15:P15)+S15</f>
        <v>13068634.461289771</v>
      </c>
      <c r="E15" s="620">
        <f t="shared" ref="E15:N15" si="3">E6*$B$15-E16</f>
        <v>1049204.7287766675</v>
      </c>
      <c r="F15" s="620">
        <f t="shared" si="3"/>
        <v>1050728.544658093</v>
      </c>
      <c r="G15" s="620">
        <f t="shared" si="3"/>
        <v>1373473.9691385631</v>
      </c>
      <c r="H15" s="620">
        <f t="shared" si="3"/>
        <v>1045334.4891745318</v>
      </c>
      <c r="I15" s="620">
        <f t="shared" si="3"/>
        <v>1100969.3332072601</v>
      </c>
      <c r="J15" s="620">
        <f t="shared" si="3"/>
        <v>1626525.0103273781</v>
      </c>
      <c r="K15" s="620">
        <f t="shared" si="3"/>
        <v>1021797.8274958279</v>
      </c>
      <c r="L15" s="620">
        <f t="shared" si="3"/>
        <v>874131.26497236628</v>
      </c>
      <c r="M15" s="620">
        <f t="shared" si="3"/>
        <v>1410079.6303449604</v>
      </c>
      <c r="N15" s="620">
        <f t="shared" si="3"/>
        <v>1024878.8823309192</v>
      </c>
      <c r="O15" s="620">
        <f t="shared" ref="O15:P15" si="4">O6*$B$15-O16</f>
        <v>1491510.7808632022</v>
      </c>
      <c r="P15" s="705">
        <f t="shared" si="4"/>
        <v>0</v>
      </c>
      <c r="R15" s="430">
        <f>'County One Time Input-GROWTH'!F14</f>
        <v>8.0390113649218432E-3</v>
      </c>
      <c r="S15" s="145">
        <f>S6*R15</f>
        <v>0</v>
      </c>
    </row>
    <row r="16" spans="1:19" ht="14.65" thickBot="1" x14ac:dyDescent="0.5">
      <c r="A16" s="716" t="s">
        <v>88</v>
      </c>
      <c r="B16" s="704">
        <f>'County One Time Input-BASE'!F13</f>
        <v>0</v>
      </c>
      <c r="C16" s="135">
        <f>C7*B16</f>
        <v>0</v>
      </c>
      <c r="D16" s="49">
        <f>SUM(E16:P16)+S16</f>
        <v>0</v>
      </c>
      <c r="E16" s="146">
        <f t="shared" ref="E16:N16" si="5">E7*$B$16</f>
        <v>0</v>
      </c>
      <c r="F16" s="146">
        <f t="shared" si="5"/>
        <v>0</v>
      </c>
      <c r="G16" s="146">
        <f t="shared" si="5"/>
        <v>0</v>
      </c>
      <c r="H16" s="146">
        <f t="shared" si="5"/>
        <v>0</v>
      </c>
      <c r="I16" s="146">
        <f t="shared" si="5"/>
        <v>0</v>
      </c>
      <c r="J16" s="146">
        <f t="shared" si="5"/>
        <v>0</v>
      </c>
      <c r="K16" s="146">
        <f t="shared" si="5"/>
        <v>0</v>
      </c>
      <c r="L16" s="146">
        <f t="shared" si="5"/>
        <v>0</v>
      </c>
      <c r="M16" s="146">
        <f t="shared" si="5"/>
        <v>0</v>
      </c>
      <c r="N16" s="146">
        <f t="shared" si="5"/>
        <v>0</v>
      </c>
      <c r="O16" s="146">
        <f t="shared" ref="O16:P16" si="6">O7*$B$16</f>
        <v>0</v>
      </c>
      <c r="P16" s="147">
        <f t="shared" si="6"/>
        <v>0</v>
      </c>
      <c r="R16" s="431"/>
      <c r="S16" s="147">
        <f>S7*R16</f>
        <v>0</v>
      </c>
    </row>
    <row r="17" spans="1:19" ht="14.65" thickBot="1" x14ac:dyDescent="0.5">
      <c r="A17" s="702" t="s">
        <v>109</v>
      </c>
      <c r="B17" s="706"/>
      <c r="C17" s="52">
        <f>SUM(C14:C16)</f>
        <v>36419178.52256839</v>
      </c>
      <c r="D17" s="103">
        <f>SUM(E17:P17)+S17</f>
        <v>34909722.577505872</v>
      </c>
      <c r="E17" s="53">
        <f t="shared" ref="E17:P17" si="7">SUM(E14:E16)</f>
        <v>2801328.8687766674</v>
      </c>
      <c r="F17" s="53">
        <f t="shared" si="7"/>
        <v>2805386.8446580931</v>
      </c>
      <c r="G17" s="53">
        <f t="shared" si="7"/>
        <v>3664869.8991385633</v>
      </c>
      <c r="H17" s="53">
        <f t="shared" si="7"/>
        <v>2796905.3398340717</v>
      </c>
      <c r="I17" s="53">
        <f t="shared" si="7"/>
        <v>2945180.1742422152</v>
      </c>
      <c r="J17" s="53">
        <f t="shared" si="7"/>
        <v>4342189.5172455879</v>
      </c>
      <c r="K17" s="53">
        <f t="shared" si="7"/>
        <v>2730504.778181958</v>
      </c>
      <c r="L17" s="53">
        <f t="shared" si="7"/>
        <v>2336952.1941988114</v>
      </c>
      <c r="M17" s="53">
        <f t="shared" si="7"/>
        <v>3765331.5129015855</v>
      </c>
      <c r="N17" s="53">
        <f t="shared" si="7"/>
        <v>2738716.231427284</v>
      </c>
      <c r="O17" s="53">
        <f t="shared" si="7"/>
        <v>3982357.2169010323</v>
      </c>
      <c r="P17" s="54">
        <f t="shared" si="7"/>
        <v>0</v>
      </c>
      <c r="R17" s="429"/>
      <c r="S17" s="417">
        <f>SUM(S14:S16)</f>
        <v>0</v>
      </c>
    </row>
    <row r="18" spans="1:19" x14ac:dyDescent="0.45">
      <c r="A18" s="106"/>
      <c r="B18" s="107"/>
      <c r="C18" s="108"/>
      <c r="D18" s="109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</row>
    <row r="19" spans="1:19" x14ac:dyDescent="0.45">
      <c r="C19" s="60"/>
      <c r="R19" s="567" t="str">
        <f>'County One Time Input-GROWTH'!F35</f>
        <v>COUNTY PROTECTIVE SVC 90%</v>
      </c>
      <c r="S19" s="568">
        <f>'Monthly Receipts Input'!S29*'County One Time Input-GROWTH'!F11</f>
        <v>0</v>
      </c>
    </row>
    <row r="20" spans="1:19" x14ac:dyDescent="0.45">
      <c r="R20" s="567" t="str">
        <f>'County One Time Input-GROWTH'!F36</f>
        <v>COUNTY PROTECTIVE SVC 10%</v>
      </c>
      <c r="S20" s="568">
        <f>'Monthly Receipts Input'!S30*'County One Time Input-GROWTH'!F12</f>
        <v>0</v>
      </c>
    </row>
    <row r="21" spans="1:19" x14ac:dyDescent="0.45">
      <c r="A21" t="s">
        <v>40</v>
      </c>
      <c r="C21" s="39">
        <f>C14</f>
        <v>22786888.642826319</v>
      </c>
      <c r="D21" s="39"/>
      <c r="G21" s="24" t="str">
        <f>CONCATENATE('County One Time Input-BASE'!C2," County Distribution - SUPPORT SERVICES ACCOUNT")</f>
        <v>San Mateo County Distribution - SUPPORT SERVICES ACCOUNT</v>
      </c>
      <c r="R21" s="567">
        <f>'County One Time Input-GROWTH'!F37</f>
        <v>0</v>
      </c>
      <c r="S21" s="568">
        <f>'Monthly Receipts Input'!S31*'County One Time Input-GROWTH'!F13</f>
        <v>0</v>
      </c>
    </row>
    <row r="22" spans="1:19" ht="14.65" thickBot="1" x14ac:dyDescent="0.5"/>
    <row r="23" spans="1:19" ht="57.4" thickBot="1" x14ac:dyDescent="0.5">
      <c r="A23" s="316" t="s">
        <v>37</v>
      </c>
      <c r="B23" s="315" t="str">
        <f>CONCATENATE('County One Time Input-BASE'!C2," County % DIST (PROG/TOT PS)")</f>
        <v>San Mateo County % DIST (PROG/TOT PS)</v>
      </c>
      <c r="C23" s="315" t="str">
        <f>CONCATENATE('County One Time Input-BASE'!C2," County Distribution to Programs")</f>
        <v>San Mateo County Distribution to Programs</v>
      </c>
      <c r="D23" s="57" t="str">
        <f>D3</f>
        <v>RECEIPTS THROUGH JULY</v>
      </c>
      <c r="E23" s="27" t="s">
        <v>7</v>
      </c>
      <c r="F23" s="27" t="s">
        <v>8</v>
      </c>
      <c r="G23" s="27" t="s">
        <v>9</v>
      </c>
      <c r="H23" s="27" t="s">
        <v>10</v>
      </c>
      <c r="I23" s="27" t="s">
        <v>11</v>
      </c>
      <c r="J23" s="27" t="s">
        <v>12</v>
      </c>
      <c r="K23" s="27" t="s">
        <v>13</v>
      </c>
      <c r="L23" s="27" t="s">
        <v>14</v>
      </c>
      <c r="M23" s="27" t="s">
        <v>15</v>
      </c>
      <c r="N23" s="27" t="s">
        <v>16</v>
      </c>
      <c r="O23" s="27" t="s">
        <v>17</v>
      </c>
      <c r="P23" s="28" t="s">
        <v>18</v>
      </c>
      <c r="R23" s="412" t="s">
        <v>281</v>
      </c>
      <c r="S23" s="386" t="s">
        <v>172</v>
      </c>
    </row>
    <row r="24" spans="1:19" ht="6" customHeight="1" thickBot="1" x14ac:dyDescent="0.5">
      <c r="A24" s="40"/>
      <c r="B24" s="41"/>
      <c r="C24" s="41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  <c r="R24" s="589"/>
      <c r="S24" s="387"/>
    </row>
    <row r="25" spans="1:19" x14ac:dyDescent="0.45">
      <c r="A25" s="193" t="s">
        <v>32</v>
      </c>
      <c r="B25" s="252">
        <f>'County One Time Input-BASE'!F43</f>
        <v>0.12923985390000001</v>
      </c>
      <c r="C25" s="253">
        <f t="shared" ref="C25:C30" si="8">B25*C$14</f>
        <v>2944974.1590344431</v>
      </c>
      <c r="D25" s="254">
        <f>SUM(E25:P25)+S25</f>
        <v>2822739.0371567952</v>
      </c>
      <c r="E25" s="255">
        <f t="shared" ref="E25:H30" si="9">E$14*$B25</f>
        <v>226444.26786826315</v>
      </c>
      <c r="F25" s="255">
        <f t="shared" si="9"/>
        <v>226771.78233642239</v>
      </c>
      <c r="G25" s="255">
        <f t="shared" si="9"/>
        <v>296139.67522025469</v>
      </c>
      <c r="H25" s="255">
        <f t="shared" si="9"/>
        <v>226372.76083473768</v>
      </c>
      <c r="I25" s="255">
        <f t="shared" ref="I25:P25" si="10">I$14*$B25</f>
        <v>238345.53965615373</v>
      </c>
      <c r="J25" s="255">
        <f t="shared" si="10"/>
        <v>350972.08411552501</v>
      </c>
      <c r="K25" s="255">
        <f t="shared" si="10"/>
        <v>220833.03666458995</v>
      </c>
      <c r="L25" s="255">
        <f t="shared" si="10"/>
        <v>189054.76317508801</v>
      </c>
      <c r="M25" s="255">
        <f t="shared" si="10"/>
        <v>304392.40919931821</v>
      </c>
      <c r="N25" s="255">
        <f t="shared" si="10"/>
        <v>221496.08860557753</v>
      </c>
      <c r="O25" s="255">
        <f t="shared" si="10"/>
        <v>321916.62948086485</v>
      </c>
      <c r="P25" s="256">
        <f t="shared" si="10"/>
        <v>0</v>
      </c>
      <c r="R25" s="591">
        <f>'County One Time Input-GROWTH'!F40</f>
        <v>0.12923985390000001</v>
      </c>
      <c r="S25" s="256">
        <f>S$19*R25</f>
        <v>0</v>
      </c>
    </row>
    <row r="26" spans="1:19" x14ac:dyDescent="0.45">
      <c r="A26" s="188" t="s">
        <v>33</v>
      </c>
      <c r="B26" s="257">
        <f>'County One Time Input-BASE'!F44</f>
        <v>0.15281752949999999</v>
      </c>
      <c r="C26" s="258">
        <f t="shared" si="8"/>
        <v>3482236.0273883259</v>
      </c>
      <c r="D26" s="259">
        <f t="shared" ref="D26:D53" si="11">SUM(E26:P26)+S26</f>
        <v>3337701.127511953</v>
      </c>
      <c r="E26" s="260">
        <f t="shared" si="9"/>
        <v>267755.28245211212</v>
      </c>
      <c r="F26" s="260">
        <f t="shared" si="9"/>
        <v>268142.54652266984</v>
      </c>
      <c r="G26" s="260">
        <f t="shared" si="9"/>
        <v>350165.46512895497</v>
      </c>
      <c r="H26" s="260">
        <f t="shared" si="9"/>
        <v>267670.73014200432</v>
      </c>
      <c r="I26" s="260">
        <f t="shared" ref="I26:P30" si="12">I$14*$B26</f>
        <v>281827.74460407905</v>
      </c>
      <c r="J26" s="260">
        <f t="shared" si="12"/>
        <v>415001.14089807653</v>
      </c>
      <c r="K26" s="260">
        <f t="shared" si="12"/>
        <v>261120.37484333271</v>
      </c>
      <c r="L26" s="260">
        <f t="shared" si="12"/>
        <v>223544.68050527966</v>
      </c>
      <c r="M26" s="260">
        <f t="shared" si="12"/>
        <v>359923.7740425276</v>
      </c>
      <c r="N26" s="260">
        <f t="shared" si="12"/>
        <v>261904.38965373556</v>
      </c>
      <c r="O26" s="260">
        <f t="shared" si="12"/>
        <v>380644.99871918093</v>
      </c>
      <c r="P26" s="261">
        <f t="shared" si="12"/>
        <v>0</v>
      </c>
      <c r="R26" s="592">
        <f>'County One Time Input-GROWTH'!F41</f>
        <v>0.15281752949999999</v>
      </c>
      <c r="S26" s="261">
        <f>S$19*R26</f>
        <v>0</v>
      </c>
    </row>
    <row r="27" spans="1:19" x14ac:dyDescent="0.45">
      <c r="A27" s="188" t="s">
        <v>34</v>
      </c>
      <c r="B27" s="257">
        <f>'County One Time Input-BASE'!F45</f>
        <v>6.4569631700000005E-2</v>
      </c>
      <c r="C27" s="258">
        <f t="shared" si="8"/>
        <v>1471341.0072562085</v>
      </c>
      <c r="D27" s="259">
        <f t="shared" si="11"/>
        <v>1410271.0155913206</v>
      </c>
      <c r="E27" s="260">
        <f t="shared" si="9"/>
        <v>113134.01041247924</v>
      </c>
      <c r="F27" s="260">
        <f t="shared" si="9"/>
        <v>113297.64019034812</v>
      </c>
      <c r="G27" s="260">
        <f t="shared" si="9"/>
        <v>147954.591278979</v>
      </c>
      <c r="H27" s="260">
        <f t="shared" si="9"/>
        <v>113098.28472354221</v>
      </c>
      <c r="I27" s="260">
        <f t="shared" si="12"/>
        <v>119080.01478277431</v>
      </c>
      <c r="J27" s="260">
        <f t="shared" si="12"/>
        <v>175349.45703247093</v>
      </c>
      <c r="K27" s="260">
        <f t="shared" si="12"/>
        <v>110330.57848903348</v>
      </c>
      <c r="L27" s="260">
        <f t="shared" si="12"/>
        <v>94453.808643203331</v>
      </c>
      <c r="M27" s="260">
        <f t="shared" si="12"/>
        <v>152077.74661741295</v>
      </c>
      <c r="N27" s="260">
        <f t="shared" si="12"/>
        <v>110661.84642485663</v>
      </c>
      <c r="O27" s="260">
        <f t="shared" si="12"/>
        <v>160833.0369962203</v>
      </c>
      <c r="P27" s="261">
        <f t="shared" si="12"/>
        <v>0</v>
      </c>
      <c r="R27" s="592">
        <f>'County One Time Input-GROWTH'!F42</f>
        <v>6.4569631700000005E-2</v>
      </c>
      <c r="S27" s="261">
        <f>S$19*R27</f>
        <v>0</v>
      </c>
    </row>
    <row r="28" spans="1:19" x14ac:dyDescent="0.45">
      <c r="A28" s="188" t="s">
        <v>35</v>
      </c>
      <c r="B28" s="257">
        <f>'County One Time Input-BASE'!F46</f>
        <v>1.1448822900000001E-2</v>
      </c>
      <c r="C28" s="258">
        <f t="shared" si="8"/>
        <v>260883.05251373991</v>
      </c>
      <c r="D28" s="259">
        <f t="shared" si="11"/>
        <v>250054.74978585273</v>
      </c>
      <c r="E28" s="260">
        <f t="shared" si="9"/>
        <v>20059.758977674806</v>
      </c>
      <c r="F28" s="260">
        <f t="shared" si="9"/>
        <v>20088.77212671507</v>
      </c>
      <c r="G28" s="260">
        <f t="shared" si="9"/>
        <v>26233.7861963508</v>
      </c>
      <c r="H28" s="260">
        <f t="shared" si="9"/>
        <v>20053.424466003424</v>
      </c>
      <c r="I28" s="260">
        <f t="shared" si="12"/>
        <v>21114.043309269255</v>
      </c>
      <c r="J28" s="260">
        <f t="shared" si="12"/>
        <v>31091.161995522412</v>
      </c>
      <c r="K28" s="260">
        <f t="shared" si="12"/>
        <v>19562.683266404536</v>
      </c>
      <c r="L28" s="260">
        <f t="shared" si="12"/>
        <v>16747.577753127003</v>
      </c>
      <c r="M28" s="260">
        <f t="shared" si="12"/>
        <v>26964.861688282403</v>
      </c>
      <c r="N28" s="260">
        <f t="shared" si="12"/>
        <v>19621.42028920976</v>
      </c>
      <c r="O28" s="260">
        <f t="shared" si="12"/>
        <v>28517.259717293295</v>
      </c>
      <c r="P28" s="261">
        <f t="shared" si="12"/>
        <v>0</v>
      </c>
      <c r="R28" s="592">
        <f>'County One Time Input-GROWTH'!F43</f>
        <v>1.1448822900000001E-2</v>
      </c>
      <c r="S28" s="261">
        <f>S$19*R28</f>
        <v>0</v>
      </c>
    </row>
    <row r="29" spans="1:19" x14ac:dyDescent="0.45">
      <c r="A29" s="188" t="s">
        <v>30</v>
      </c>
      <c r="B29" s="257">
        <f>'County One Time Input-BASE'!F47</f>
        <v>6.3446434699999998E-2</v>
      </c>
      <c r="C29" s="258">
        <f t="shared" si="8"/>
        <v>1445746.8422932515</v>
      </c>
      <c r="D29" s="259">
        <f t="shared" si="11"/>
        <v>1385739.1709424509</v>
      </c>
      <c r="E29" s="260">
        <f t="shared" si="9"/>
        <v>111166.02983480364</v>
      </c>
      <c r="F29" s="260">
        <f t="shared" si="9"/>
        <v>111326.81325176301</v>
      </c>
      <c r="G29" s="260">
        <f t="shared" si="9"/>
        <v>145380.90224459078</v>
      </c>
      <c r="H29" s="260">
        <f t="shared" si="9"/>
        <v>111130.92559879395</v>
      </c>
      <c r="I29" s="260">
        <f t="shared" si="12"/>
        <v>117008.60269875635</v>
      </c>
      <c r="J29" s="260">
        <f t="shared" si="12"/>
        <v>172299.23080529392</v>
      </c>
      <c r="K29" s="260">
        <f t="shared" si="12"/>
        <v>108411.36396814366</v>
      </c>
      <c r="L29" s="260">
        <f t="shared" si="12"/>
        <v>92810.772563958963</v>
      </c>
      <c r="M29" s="260">
        <f t="shared" si="12"/>
        <v>149432.33476868097</v>
      </c>
      <c r="N29" s="260">
        <f t="shared" si="12"/>
        <v>108736.86945586362</v>
      </c>
      <c r="O29" s="260">
        <f t="shared" si="12"/>
        <v>158035.32575180189</v>
      </c>
      <c r="P29" s="261">
        <f t="shared" si="12"/>
        <v>0</v>
      </c>
      <c r="R29" s="592">
        <f>'County One Time Input-GROWTH'!F44</f>
        <v>6.3446434699999998E-2</v>
      </c>
      <c r="S29" s="261">
        <f>S$19*R29</f>
        <v>0</v>
      </c>
    </row>
    <row r="30" spans="1:19" x14ac:dyDescent="0.45">
      <c r="A30" s="188" t="s">
        <v>36</v>
      </c>
      <c r="B30" s="257">
        <f>'County One Time Input-BASE'!F48</f>
        <v>0.52799938930000001</v>
      </c>
      <c r="C30" s="258">
        <f t="shared" si="8"/>
        <v>12031463.287459403</v>
      </c>
      <c r="D30" s="259">
        <f t="shared" si="11"/>
        <v>11532081.18700959</v>
      </c>
      <c r="E30" s="260">
        <f t="shared" si="9"/>
        <v>925120.47589778772</v>
      </c>
      <c r="F30" s="260">
        <f t="shared" si="9"/>
        <v>926458.51083017618</v>
      </c>
      <c r="G30" s="260">
        <f t="shared" si="9"/>
        <v>1209855.6516845056</v>
      </c>
      <c r="H30" s="260">
        <f t="shared" si="9"/>
        <v>924828.33946391859</v>
      </c>
      <c r="I30" s="260">
        <f t="shared" si="12"/>
        <v>973742.19780689571</v>
      </c>
      <c r="J30" s="260">
        <f t="shared" si="12"/>
        <v>1433869.2011965006</v>
      </c>
      <c r="K30" s="260">
        <f t="shared" si="12"/>
        <v>902196.22645494191</v>
      </c>
      <c r="L30" s="260">
        <f t="shared" si="12"/>
        <v>772368.55728682154</v>
      </c>
      <c r="M30" s="260">
        <f t="shared" si="12"/>
        <v>1243571.5556375734</v>
      </c>
      <c r="N30" s="260">
        <f t="shared" si="12"/>
        <v>904905.07368241169</v>
      </c>
      <c r="O30" s="260">
        <f t="shared" si="12"/>
        <v>1315165.3970680558</v>
      </c>
      <c r="P30" s="261">
        <f t="shared" si="12"/>
        <v>0</v>
      </c>
      <c r="R30" s="592">
        <f>'County One Time Input-GROWTH'!F45</f>
        <v>0.52799938930000001</v>
      </c>
      <c r="S30" s="261">
        <f>(S$19*R30)+S20+S21</f>
        <v>0</v>
      </c>
    </row>
    <row r="31" spans="1:19" ht="15.75" outlineLevel="1" x14ac:dyDescent="0.5">
      <c r="A31" s="262"/>
      <c r="B31" s="263" t="s">
        <v>73</v>
      </c>
      <c r="C31" s="264"/>
      <c r="D31" s="265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7"/>
      <c r="R31" s="593"/>
      <c r="S31" s="267"/>
    </row>
    <row r="32" spans="1:19" outlineLevel="1" x14ac:dyDescent="0.45">
      <c r="A32" s="268" t="s">
        <v>48</v>
      </c>
      <c r="B32" s="710">
        <v>1.3092828E-3</v>
      </c>
      <c r="C32" s="264">
        <f t="shared" ref="C32:C44" si="13">$C$30*B32</f>
        <v>15752.587941102052</v>
      </c>
      <c r="D32" s="265">
        <f t="shared" si="11"/>
        <v>15098.75554635524</v>
      </c>
      <c r="E32" s="266">
        <f t="shared" ref="E32:H44" si="14">+E$30*$B32</f>
        <v>1211.244327020788</v>
      </c>
      <c r="F32" s="266">
        <f t="shared" si="14"/>
        <v>1212.9961931435635</v>
      </c>
      <c r="G32" s="266">
        <f t="shared" si="14"/>
        <v>1584.0431952333142</v>
      </c>
      <c r="H32" s="266">
        <f t="shared" si="14"/>
        <v>1210.8618378126698</v>
      </c>
      <c r="I32" s="266">
        <f t="shared" ref="I32:P44" si="15">+I$30*$B32</f>
        <v>1274.9039112227663</v>
      </c>
      <c r="J32" s="266">
        <f t="shared" si="15"/>
        <v>1877.3402825763176</v>
      </c>
      <c r="K32" s="266">
        <f t="shared" si="15"/>
        <v>1181.2300015223605</v>
      </c>
      <c r="L32" s="266">
        <f t="shared" si="15"/>
        <v>1011.2488673164501</v>
      </c>
      <c r="M32" s="266">
        <f t="shared" si="15"/>
        <v>1628.1868483655178</v>
      </c>
      <c r="N32" s="266">
        <f t="shared" si="15"/>
        <v>1184.7766486051144</v>
      </c>
      <c r="O32" s="266">
        <f t="shared" si="15"/>
        <v>1721.9234335363758</v>
      </c>
      <c r="P32" s="267">
        <f t="shared" si="15"/>
        <v>0</v>
      </c>
      <c r="R32" s="594"/>
      <c r="S32" s="267">
        <f>(S$19*R$30)*B32</f>
        <v>0</v>
      </c>
    </row>
    <row r="33" spans="1:19" outlineLevel="1" x14ac:dyDescent="0.45">
      <c r="A33" s="268" t="s">
        <v>49</v>
      </c>
      <c r="B33" s="710">
        <v>6.9461881000000003E-3</v>
      </c>
      <c r="C33" s="264">
        <f t="shared" si="13"/>
        <v>83572.807112937386</v>
      </c>
      <c r="D33" s="265">
        <f t="shared" si="11"/>
        <v>80104.005109439895</v>
      </c>
      <c r="E33" s="266">
        <f t="shared" si="14"/>
        <v>6426.0608407475502</v>
      </c>
      <c r="F33" s="266">
        <f t="shared" si="14"/>
        <v>6435.3550830722916</v>
      </c>
      <c r="G33" s="266">
        <f t="shared" si="14"/>
        <v>8403.8849304486575</v>
      </c>
      <c r="H33" s="266">
        <f t="shared" si="14"/>
        <v>6424.0316061270323</v>
      </c>
      <c r="I33" s="266">
        <f t="shared" si="15"/>
        <v>6763.7964668741051</v>
      </c>
      <c r="J33" s="266">
        <f t="shared" si="15"/>
        <v>9959.9251823076393</v>
      </c>
      <c r="K33" s="266">
        <f t="shared" si="15"/>
        <v>6266.8246920662232</v>
      </c>
      <c r="L33" s="266">
        <f t="shared" si="15"/>
        <v>5365.0172814398884</v>
      </c>
      <c r="M33" s="266">
        <f t="shared" si="15"/>
        <v>8638.0819412682013</v>
      </c>
      <c r="N33" s="266">
        <f t="shared" si="15"/>
        <v>6285.6408544423912</v>
      </c>
      <c r="O33" s="266">
        <f t="shared" si="15"/>
        <v>9135.386230645905</v>
      </c>
      <c r="P33" s="267">
        <f t="shared" si="15"/>
        <v>0</v>
      </c>
      <c r="R33" s="594"/>
      <c r="S33" s="267">
        <f t="shared" ref="S33:S43" si="16">(S$19*R$30)*B33</f>
        <v>0</v>
      </c>
    </row>
    <row r="34" spans="1:19" outlineLevel="1" x14ac:dyDescent="0.45">
      <c r="A34" s="268" t="s">
        <v>50</v>
      </c>
      <c r="B34" s="710">
        <v>7.7863254999999999E-3</v>
      </c>
      <c r="C34" s="264">
        <f t="shared" si="13"/>
        <v>93680.889397458988</v>
      </c>
      <c r="D34" s="265">
        <f t="shared" si="11"/>
        <v>89792.537814483017</v>
      </c>
      <c r="E34" s="266">
        <f t="shared" si="14"/>
        <v>7203.2891520550802</v>
      </c>
      <c r="F34" s="266">
        <f t="shared" si="14"/>
        <v>7213.7075275690268</v>
      </c>
      <c r="G34" s="266">
        <f t="shared" si="14"/>
        <v>9420.3299120301836</v>
      </c>
      <c r="H34" s="266">
        <f t="shared" si="14"/>
        <v>7201.0144826905653</v>
      </c>
      <c r="I34" s="266">
        <f t="shared" si="15"/>
        <v>7581.8737052098759</v>
      </c>
      <c r="J34" s="266">
        <f t="shared" si="15"/>
        <v>11164.572324940942</v>
      </c>
      <c r="K34" s="266">
        <f t="shared" si="15"/>
        <v>7024.7934840498883</v>
      </c>
      <c r="L34" s="266">
        <f t="shared" si="15"/>
        <v>6013.9129930005893</v>
      </c>
      <c r="M34" s="266">
        <f t="shared" si="15"/>
        <v>9682.8529147355057</v>
      </c>
      <c r="N34" s="266">
        <f t="shared" si="15"/>
        <v>7045.8854502927406</v>
      </c>
      <c r="O34" s="266">
        <f t="shared" si="15"/>
        <v>10240.305867908628</v>
      </c>
      <c r="P34" s="267">
        <f t="shared" si="15"/>
        <v>0</v>
      </c>
      <c r="R34" s="594"/>
      <c r="S34" s="267">
        <f t="shared" si="16"/>
        <v>0</v>
      </c>
    </row>
    <row r="35" spans="1:19" outlineLevel="1" x14ac:dyDescent="0.45">
      <c r="A35" s="268" t="s">
        <v>51</v>
      </c>
      <c r="B35" s="710">
        <v>1.2115598700000001E-2</v>
      </c>
      <c r="C35" s="264">
        <f t="shared" si="13"/>
        <v>145768.38096464088</v>
      </c>
      <c r="D35" s="265">
        <f t="shared" si="11"/>
        <v>139718.06783762784</v>
      </c>
      <c r="E35" s="266">
        <f t="shared" si="14"/>
        <v>11208.388435130619</v>
      </c>
      <c r="F35" s="266">
        <f t="shared" si="14"/>
        <v>11224.599529418019</v>
      </c>
      <c r="G35" s="266">
        <f t="shared" si="14"/>
        <v>14658.125560736449</v>
      </c>
      <c r="H35" s="266">
        <f t="shared" si="14"/>
        <v>11204.849027332211</v>
      </c>
      <c r="I35" s="266">
        <f t="shared" si="15"/>
        <v>11797.469705884369</v>
      </c>
      <c r="J35" s="266">
        <f t="shared" si="15"/>
        <v>17372.183829986363</v>
      </c>
      <c r="K35" s="266">
        <f t="shared" si="15"/>
        <v>10930.647428382401</v>
      </c>
      <c r="L35" s="266">
        <f t="shared" si="15"/>
        <v>9357.7074885850907</v>
      </c>
      <c r="M35" s="266">
        <f t="shared" si="15"/>
        <v>15066.613922839562</v>
      </c>
      <c r="N35" s="266">
        <f t="shared" si="15"/>
        <v>10963.466734330032</v>
      </c>
      <c r="O35" s="266">
        <f t="shared" si="15"/>
        <v>15934.016175002722</v>
      </c>
      <c r="P35" s="267">
        <f t="shared" si="15"/>
        <v>0</v>
      </c>
      <c r="R35" s="594"/>
      <c r="S35" s="267">
        <f t="shared" si="16"/>
        <v>0</v>
      </c>
    </row>
    <row r="36" spans="1:19" outlineLevel="1" x14ac:dyDescent="0.45">
      <c r="A36" s="268" t="s">
        <v>52</v>
      </c>
      <c r="B36" s="710">
        <v>9.1542360000000005E-4</v>
      </c>
      <c r="C36" s="264">
        <f t="shared" si="13"/>
        <v>11013.885435873923</v>
      </c>
      <c r="D36" s="265">
        <f t="shared" si="11"/>
        <v>10556.739275704593</v>
      </c>
      <c r="E36" s="266">
        <f t="shared" si="14"/>
        <v>846.87711648006609</v>
      </c>
      <c r="F36" s="266">
        <f t="shared" si="14"/>
        <v>848.10198523479892</v>
      </c>
      <c r="G36" s="266">
        <f t="shared" si="14"/>
        <v>1107.5304161453762</v>
      </c>
      <c r="H36" s="266">
        <f t="shared" si="14"/>
        <v>846.60968789408241</v>
      </c>
      <c r="I36" s="266">
        <f t="shared" si="15"/>
        <v>891.38658818830061</v>
      </c>
      <c r="J36" s="266">
        <f t="shared" si="15"/>
        <v>1312.597706088425</v>
      </c>
      <c r="K36" s="266">
        <f t="shared" si="15"/>
        <v>825.89171752779816</v>
      </c>
      <c r="L36" s="266">
        <f t="shared" si="15"/>
        <v>707.0444052383084</v>
      </c>
      <c r="M36" s="266">
        <f t="shared" si="15"/>
        <v>1138.3947503193478</v>
      </c>
      <c r="N36" s="266">
        <f t="shared" si="15"/>
        <v>828.3714602086186</v>
      </c>
      <c r="O36" s="266">
        <f t="shared" si="15"/>
        <v>1203.9334423794692</v>
      </c>
      <c r="P36" s="267">
        <f t="shared" si="15"/>
        <v>0</v>
      </c>
      <c r="R36" s="594"/>
      <c r="S36" s="267">
        <f t="shared" si="16"/>
        <v>0</v>
      </c>
    </row>
    <row r="37" spans="1:19" outlineLevel="1" x14ac:dyDescent="0.45">
      <c r="A37" s="268" t="s">
        <v>53</v>
      </c>
      <c r="B37" s="710">
        <v>1.1515449999999999E-3</v>
      </c>
      <c r="C37" s="264">
        <f t="shared" si="13"/>
        <v>13854.771391357437</v>
      </c>
      <c r="D37" s="265">
        <f t="shared" si="11"/>
        <v>13279.710430494955</v>
      </c>
      <c r="E37" s="266">
        <f t="shared" si="14"/>
        <v>1065.3178584177178</v>
      </c>
      <c r="F37" s="266">
        <f t="shared" si="14"/>
        <v>1066.8586658539352</v>
      </c>
      <c r="G37" s="266">
        <f t="shared" si="14"/>
        <v>1393.2032264190339</v>
      </c>
      <c r="H37" s="266">
        <f t="shared" si="14"/>
        <v>1064.981450167978</v>
      </c>
      <c r="I37" s="266">
        <f t="shared" si="15"/>
        <v>1121.3079591735416</v>
      </c>
      <c r="J37" s="266">
        <f t="shared" si="15"/>
        <v>1651.1649092918242</v>
      </c>
      <c r="K37" s="266">
        <f t="shared" si="15"/>
        <v>1038.919553593056</v>
      </c>
      <c r="L37" s="266">
        <f t="shared" si="15"/>
        <v>889.41715030085288</v>
      </c>
      <c r="M37" s="266">
        <f t="shared" si="15"/>
        <v>1432.0286070366692</v>
      </c>
      <c r="N37" s="266">
        <f t="shared" si="15"/>
        <v>1042.0389130736128</v>
      </c>
      <c r="O37" s="266">
        <f t="shared" si="15"/>
        <v>1514.4721371667342</v>
      </c>
      <c r="P37" s="267">
        <f t="shared" si="15"/>
        <v>0</v>
      </c>
      <c r="R37" s="594"/>
      <c r="S37" s="267">
        <f t="shared" si="16"/>
        <v>0</v>
      </c>
    </row>
    <row r="38" spans="1:19" outlineLevel="1" x14ac:dyDescent="0.45">
      <c r="A38" s="268" t="s">
        <v>54</v>
      </c>
      <c r="B38" s="710">
        <v>0</v>
      </c>
      <c r="C38" s="264">
        <f t="shared" si="13"/>
        <v>0</v>
      </c>
      <c r="D38" s="265">
        <f t="shared" si="11"/>
        <v>0</v>
      </c>
      <c r="E38" s="266">
        <f t="shared" si="14"/>
        <v>0</v>
      </c>
      <c r="F38" s="266">
        <f t="shared" si="14"/>
        <v>0</v>
      </c>
      <c r="G38" s="266">
        <f t="shared" si="14"/>
        <v>0</v>
      </c>
      <c r="H38" s="266">
        <f t="shared" si="14"/>
        <v>0</v>
      </c>
      <c r="I38" s="266">
        <f t="shared" si="15"/>
        <v>0</v>
      </c>
      <c r="J38" s="266">
        <f t="shared" si="15"/>
        <v>0</v>
      </c>
      <c r="K38" s="266">
        <f t="shared" si="15"/>
        <v>0</v>
      </c>
      <c r="L38" s="266">
        <f t="shared" si="15"/>
        <v>0</v>
      </c>
      <c r="M38" s="266">
        <f t="shared" si="15"/>
        <v>0</v>
      </c>
      <c r="N38" s="266">
        <f t="shared" si="15"/>
        <v>0</v>
      </c>
      <c r="O38" s="266">
        <f t="shared" si="15"/>
        <v>0</v>
      </c>
      <c r="P38" s="267">
        <f t="shared" si="15"/>
        <v>0</v>
      </c>
      <c r="R38" s="594"/>
      <c r="S38" s="267">
        <f t="shared" si="16"/>
        <v>0</v>
      </c>
    </row>
    <row r="39" spans="1:19" outlineLevel="1" x14ac:dyDescent="0.45">
      <c r="A39" s="268" t="s">
        <v>55</v>
      </c>
      <c r="B39" s="710">
        <v>6.0671291000000002E-2</v>
      </c>
      <c r="C39" s="264">
        <f t="shared" si="13"/>
        <v>729964.41026926611</v>
      </c>
      <c r="D39" s="265">
        <f t="shared" si="11"/>
        <v>699666.25353268418</v>
      </c>
      <c r="E39" s="266">
        <f t="shared" si="14"/>
        <v>56128.253603253164</v>
      </c>
      <c r="F39" s="266">
        <f t="shared" si="14"/>
        <v>56209.433910004271</v>
      </c>
      <c r="G39" s="266">
        <f t="shared" si="14"/>
        <v>73403.504311345285</v>
      </c>
      <c r="H39" s="266">
        <f t="shared" si="14"/>
        <v>56110.52930866219</v>
      </c>
      <c r="I39" s="266">
        <f t="shared" si="15"/>
        <v>59078.196242121732</v>
      </c>
      <c r="J39" s="266">
        <f t="shared" si="15"/>
        <v>86994.695561730434</v>
      </c>
      <c r="K39" s="266">
        <f t="shared" si="15"/>
        <v>54737.409794349682</v>
      </c>
      <c r="L39" s="266">
        <f t="shared" si="15"/>
        <v>46860.597498398922</v>
      </c>
      <c r="M39" s="266">
        <f t="shared" si="15"/>
        <v>75449.091731409906</v>
      </c>
      <c r="N39" s="266">
        <f t="shared" si="15"/>
        <v>54901.759052762041</v>
      </c>
      <c r="O39" s="266">
        <f t="shared" si="15"/>
        <v>79792.782518646563</v>
      </c>
      <c r="P39" s="267">
        <f t="shared" si="15"/>
        <v>0</v>
      </c>
      <c r="R39" s="594"/>
      <c r="S39" s="267">
        <f t="shared" si="16"/>
        <v>0</v>
      </c>
    </row>
    <row r="40" spans="1:19" outlineLevel="1" x14ac:dyDescent="0.45">
      <c r="A40" s="268" t="s">
        <v>56</v>
      </c>
      <c r="B40" s="710">
        <v>0.12967450189999999</v>
      </c>
      <c r="C40" s="264">
        <f t="shared" si="13"/>
        <v>1560174.0089294345</v>
      </c>
      <c r="D40" s="265">
        <f t="shared" si="11"/>
        <v>1495416.883795829</v>
      </c>
      <c r="E40" s="266">
        <f t="shared" si="14"/>
        <v>119964.53690953656</v>
      </c>
      <c r="F40" s="266">
        <f t="shared" si="14"/>
        <v>120138.04592291884</v>
      </c>
      <c r="G40" s="266">
        <f t="shared" si="14"/>
        <v>156887.42900308815</v>
      </c>
      <c r="H40" s="266">
        <f t="shared" si="14"/>
        <v>119926.65426298775</v>
      </c>
      <c r="I40" s="266">
        <f t="shared" si="15"/>
        <v>126269.53447962046</v>
      </c>
      <c r="J40" s="266">
        <f t="shared" si="15"/>
        <v>185936.27445490708</v>
      </c>
      <c r="K40" s="266">
        <f t="shared" si="15"/>
        <v>116991.84628160419</v>
      </c>
      <c r="L40" s="266">
        <f t="shared" si="15"/>
        <v>100156.50794939019</v>
      </c>
      <c r="M40" s="266">
        <f t="shared" si="15"/>
        <v>161259.52205431045</v>
      </c>
      <c r="N40" s="266">
        <f t="shared" si="15"/>
        <v>117343.11469654953</v>
      </c>
      <c r="O40" s="266">
        <f t="shared" si="15"/>
        <v>170543.41778091586</v>
      </c>
      <c r="P40" s="267">
        <f t="shared" si="15"/>
        <v>0</v>
      </c>
      <c r="R40" s="594"/>
      <c r="S40" s="267">
        <f t="shared" si="16"/>
        <v>0</v>
      </c>
    </row>
    <row r="41" spans="1:19" outlineLevel="1" x14ac:dyDescent="0.45">
      <c r="A41" s="268" t="s">
        <v>57</v>
      </c>
      <c r="B41" s="710">
        <v>9.6890799999999999E-4</v>
      </c>
      <c r="C41" s="264">
        <f t="shared" si="13"/>
        <v>11657.381030925715</v>
      </c>
      <c r="D41" s="265">
        <f t="shared" si="11"/>
        <v>11173.525718743087</v>
      </c>
      <c r="E41" s="266">
        <f t="shared" si="14"/>
        <v>896.35663006117375</v>
      </c>
      <c r="F41" s="266">
        <f t="shared" si="14"/>
        <v>897.65306281144433</v>
      </c>
      <c r="G41" s="266">
        <f t="shared" si="14"/>
        <v>1172.2388197623309</v>
      </c>
      <c r="H41" s="266">
        <f t="shared" si="14"/>
        <v>896.07357673330637</v>
      </c>
      <c r="I41" s="266">
        <f t="shared" si="15"/>
        <v>943.46660539268373</v>
      </c>
      <c r="J41" s="266">
        <f t="shared" si="15"/>
        <v>1389.287339992899</v>
      </c>
      <c r="K41" s="266">
        <f t="shared" si="15"/>
        <v>874.14514138200479</v>
      </c>
      <c r="L41" s="266">
        <f t="shared" si="15"/>
        <v>748.35407410365963</v>
      </c>
      <c r="M41" s="266">
        <f t="shared" si="15"/>
        <v>1204.90642882969</v>
      </c>
      <c r="N41" s="266">
        <f t="shared" si="15"/>
        <v>876.76976513147815</v>
      </c>
      <c r="O41" s="266">
        <f t="shared" si="15"/>
        <v>1274.2742745424157</v>
      </c>
      <c r="P41" s="267">
        <f t="shared" si="15"/>
        <v>0</v>
      </c>
      <c r="R41" s="594"/>
      <c r="S41" s="267">
        <f t="shared" si="16"/>
        <v>0</v>
      </c>
    </row>
    <row r="42" spans="1:19" outlineLevel="1" x14ac:dyDescent="0.45">
      <c r="A42" s="268" t="s">
        <v>58</v>
      </c>
      <c r="B42" s="710">
        <v>1.2224697099999999E-2</v>
      </c>
      <c r="C42" s="264">
        <f t="shared" si="13"/>
        <v>147080.99435896141</v>
      </c>
      <c r="D42" s="265">
        <f t="shared" si="11"/>
        <v>140976.19944380067</v>
      </c>
      <c r="E42" s="266">
        <f t="shared" si="14"/>
        <v>11309.317598858304</v>
      </c>
      <c r="F42" s="266">
        <f t="shared" si="14"/>
        <v>11325.674670615972</v>
      </c>
      <c r="G42" s="266">
        <f t="shared" si="14"/>
        <v>14790.118876566185</v>
      </c>
      <c r="H42" s="266">
        <f t="shared" si="14"/>
        <v>11305.74631944238</v>
      </c>
      <c r="I42" s="266">
        <f t="shared" si="15"/>
        <v>11903.703421677583</v>
      </c>
      <c r="J42" s="266">
        <f t="shared" si="15"/>
        <v>17528.616665646176</v>
      </c>
      <c r="K42" s="266">
        <f t="shared" si="15"/>
        <v>11029.075593174672</v>
      </c>
      <c r="L42" s="266">
        <f t="shared" si="15"/>
        <v>9441.97166239539</v>
      </c>
      <c r="M42" s="266">
        <f t="shared" si="15"/>
        <v>15202.285589845131</v>
      </c>
      <c r="N42" s="266">
        <f t="shared" si="15"/>
        <v>11062.190430020664</v>
      </c>
      <c r="O42" s="266">
        <f t="shared" si="15"/>
        <v>16077.49861555821</v>
      </c>
      <c r="P42" s="267">
        <f t="shared" si="15"/>
        <v>0</v>
      </c>
      <c r="R42" s="594"/>
      <c r="S42" s="267">
        <f t="shared" si="16"/>
        <v>0</v>
      </c>
    </row>
    <row r="43" spans="1:19" outlineLevel="1" x14ac:dyDescent="0.45">
      <c r="A43" s="268" t="s">
        <v>59</v>
      </c>
      <c r="B43" s="710">
        <v>0.14302865340000001</v>
      </c>
      <c r="C43" s="264">
        <f t="shared" si="13"/>
        <v>1720843.9924368558</v>
      </c>
      <c r="D43" s="265">
        <f t="shared" si="11"/>
        <v>1649418.0430774551</v>
      </c>
      <c r="E43" s="266">
        <f t="shared" si="14"/>
        <v>132318.73590042774</v>
      </c>
      <c r="F43" s="266">
        <f t="shared" si="14"/>
        <v>132510.11323500943</v>
      </c>
      <c r="G43" s="266">
        <f t="shared" si="14"/>
        <v>173044.02466881429</v>
      </c>
      <c r="H43" s="266">
        <f t="shared" si="14"/>
        <v>132276.95201968236</v>
      </c>
      <c r="I43" s="266">
        <f t="shared" si="15"/>
        <v>139273.03531107673</v>
      </c>
      <c r="J43" s="266">
        <f t="shared" si="15"/>
        <v>205084.38099886916</v>
      </c>
      <c r="K43" s="266">
        <f t="shared" si="15"/>
        <v>129039.91137241181</v>
      </c>
      <c r="L43" s="266">
        <f t="shared" si="15"/>
        <v>110470.83467723485</v>
      </c>
      <c r="M43" s="266">
        <f t="shared" si="15"/>
        <v>177866.36500938531</v>
      </c>
      <c r="N43" s="266">
        <f t="shared" si="15"/>
        <v>129427.35414362313</v>
      </c>
      <c r="O43" s="266">
        <f t="shared" si="15"/>
        <v>188106.33574092033</v>
      </c>
      <c r="P43" s="267">
        <f t="shared" si="15"/>
        <v>0</v>
      </c>
      <c r="R43" s="594"/>
      <c r="S43" s="267">
        <f t="shared" si="16"/>
        <v>0</v>
      </c>
    </row>
    <row r="44" spans="1:19" outlineLevel="1" x14ac:dyDescent="0.45">
      <c r="A44" s="268" t="s">
        <v>60</v>
      </c>
      <c r="B44" s="710">
        <v>0.62320758489999994</v>
      </c>
      <c r="C44" s="264">
        <f t="shared" si="13"/>
        <v>7498099.178190589</v>
      </c>
      <c r="D44" s="265">
        <f t="shared" si="11"/>
        <v>7186880.4654269703</v>
      </c>
      <c r="E44" s="266">
        <f t="shared" si="14"/>
        <v>576542.09752579895</v>
      </c>
      <c r="F44" s="266">
        <f t="shared" si="14"/>
        <v>577375.97104452457</v>
      </c>
      <c r="G44" s="266">
        <f t="shared" si="14"/>
        <v>753991.21876391629</v>
      </c>
      <c r="H44" s="266">
        <f t="shared" si="14"/>
        <v>576360.03588438604</v>
      </c>
      <c r="I44" s="266">
        <f t="shared" si="15"/>
        <v>606843.52341045346</v>
      </c>
      <c r="J44" s="266">
        <f t="shared" si="15"/>
        <v>893598.16194016323</v>
      </c>
      <c r="K44" s="266">
        <f t="shared" si="15"/>
        <v>562255.53139487782</v>
      </c>
      <c r="L44" s="266">
        <f t="shared" si="15"/>
        <v>481345.94323941728</v>
      </c>
      <c r="M44" s="266">
        <f t="shared" si="15"/>
        <v>775003.22583922802</v>
      </c>
      <c r="N44" s="266">
        <f t="shared" si="15"/>
        <v>563943.70553337224</v>
      </c>
      <c r="O44" s="266">
        <f t="shared" si="15"/>
        <v>819621.05085083249</v>
      </c>
      <c r="P44" s="267">
        <f t="shared" si="15"/>
        <v>0</v>
      </c>
      <c r="R44" s="594"/>
      <c r="S44" s="267">
        <f>SUM((S$19*R$30)*B44)+S20</f>
        <v>0</v>
      </c>
    </row>
    <row r="45" spans="1:19" outlineLevel="1" x14ac:dyDescent="0.45">
      <c r="A45" s="270" t="s">
        <v>80</v>
      </c>
      <c r="B45" s="271">
        <f t="shared" ref="B45:P45" si="17">SUBTOTAL(9,B32:B44)</f>
        <v>1</v>
      </c>
      <c r="C45" s="272">
        <f t="shared" si="17"/>
        <v>12031463.287459403</v>
      </c>
      <c r="D45" s="272">
        <f t="shared" si="11"/>
        <v>11532081.187009586</v>
      </c>
      <c r="E45" s="273">
        <f t="shared" ref="E45:H45" si="18">SUBTOTAL(9,E32:E44)</f>
        <v>925120.47589778772</v>
      </c>
      <c r="F45" s="273">
        <f t="shared" si="18"/>
        <v>926458.51083017618</v>
      </c>
      <c r="G45" s="273">
        <f t="shared" si="18"/>
        <v>1209855.6516845054</v>
      </c>
      <c r="H45" s="273">
        <f t="shared" si="18"/>
        <v>924828.33946391859</v>
      </c>
      <c r="I45" s="273">
        <f t="shared" si="17"/>
        <v>973742.19780689559</v>
      </c>
      <c r="J45" s="273">
        <f t="shared" si="17"/>
        <v>1433869.2011965006</v>
      </c>
      <c r="K45" s="273">
        <f t="shared" si="17"/>
        <v>902196.22645494191</v>
      </c>
      <c r="L45" s="273">
        <f t="shared" si="17"/>
        <v>772368.55728682154</v>
      </c>
      <c r="M45" s="273">
        <f t="shared" si="17"/>
        <v>1243571.5556375734</v>
      </c>
      <c r="N45" s="273">
        <f t="shared" si="17"/>
        <v>904905.07368241157</v>
      </c>
      <c r="O45" s="273">
        <f t="shared" si="17"/>
        <v>1315165.3970680558</v>
      </c>
      <c r="P45" s="274">
        <f t="shared" si="17"/>
        <v>0</v>
      </c>
      <c r="R45" s="595"/>
      <c r="S45" s="293">
        <f>SUBTOTAL(9,S32:S44)</f>
        <v>0</v>
      </c>
    </row>
    <row r="46" spans="1:19" x14ac:dyDescent="0.45">
      <c r="A46" s="188" t="s">
        <v>28</v>
      </c>
      <c r="B46" s="275">
        <f>'County One Time Input-BASE'!F49</f>
        <v>2.3759667200000001E-2</v>
      </c>
      <c r="C46" s="258">
        <f>B46*C$14</f>
        <v>541408.89067701297</v>
      </c>
      <c r="D46" s="259">
        <f t="shared" si="11"/>
        <v>518936.98492716957</v>
      </c>
      <c r="E46" s="260">
        <f t="shared" ref="E46:H47" si="19">E$14*$B46</f>
        <v>41629.88645948621</v>
      </c>
      <c r="F46" s="260">
        <f t="shared" si="19"/>
        <v>41690.09725771776</v>
      </c>
      <c r="G46" s="260">
        <f t="shared" si="19"/>
        <v>54442.804720234504</v>
      </c>
      <c r="H46" s="260">
        <f t="shared" si="19"/>
        <v>41616.74048889157</v>
      </c>
      <c r="I46" s="260">
        <f t="shared" ref="I46:P47" si="20">I$14*$B46</f>
        <v>43817.835829622636</v>
      </c>
      <c r="J46" s="260">
        <f t="shared" si="20"/>
        <v>64523.284911228773</v>
      </c>
      <c r="K46" s="260">
        <f t="shared" si="20"/>
        <v>40598.308490629264</v>
      </c>
      <c r="L46" s="260">
        <f t="shared" si="20"/>
        <v>34756.138451615087</v>
      </c>
      <c r="M46" s="260">
        <f t="shared" si="20"/>
        <v>55960.0009017189</v>
      </c>
      <c r="N46" s="260">
        <f t="shared" si="20"/>
        <v>40720.205049459859</v>
      </c>
      <c r="O46" s="260">
        <f t="shared" si="20"/>
        <v>59181.682366564928</v>
      </c>
      <c r="P46" s="261">
        <f t="shared" si="20"/>
        <v>0</v>
      </c>
      <c r="R46" s="596">
        <f>'County One Time Input-GROWTH'!F46</f>
        <v>2.3759667200000001E-2</v>
      </c>
      <c r="S46" s="261">
        <f>S$19*R46</f>
        <v>0</v>
      </c>
    </row>
    <row r="47" spans="1:19" x14ac:dyDescent="0.45">
      <c r="A47" s="188" t="s">
        <v>29</v>
      </c>
      <c r="B47" s="275">
        <f>'County One Time Input-BASE'!F50</f>
        <v>2.67186708E-2</v>
      </c>
      <c r="C47" s="258">
        <f>B47*C$14</f>
        <v>608835.37620393524</v>
      </c>
      <c r="D47" s="259">
        <f t="shared" si="11"/>
        <v>583564.8432909702</v>
      </c>
      <c r="E47" s="260">
        <f t="shared" si="19"/>
        <v>46814.428097393109</v>
      </c>
      <c r="F47" s="260">
        <f t="shared" si="19"/>
        <v>46882.137484187639</v>
      </c>
      <c r="G47" s="260">
        <f t="shared" si="19"/>
        <v>61223.05352612985</v>
      </c>
      <c r="H47" s="260">
        <f t="shared" si="19"/>
        <v>46799.644941648214</v>
      </c>
      <c r="I47" s="260">
        <f t="shared" si="20"/>
        <v>49274.862347404094</v>
      </c>
      <c r="J47" s="260">
        <f t="shared" si="20"/>
        <v>72558.945963591977</v>
      </c>
      <c r="K47" s="260">
        <f t="shared" si="20"/>
        <v>45654.378509054543</v>
      </c>
      <c r="L47" s="260">
        <f t="shared" si="20"/>
        <v>39084.630847351487</v>
      </c>
      <c r="M47" s="260">
        <f t="shared" si="20"/>
        <v>62929.199701110731</v>
      </c>
      <c r="N47" s="260">
        <f t="shared" si="20"/>
        <v>45791.455935250458</v>
      </c>
      <c r="O47" s="260">
        <f t="shared" si="20"/>
        <v>66552.105937848042</v>
      </c>
      <c r="P47" s="261">
        <f t="shared" si="20"/>
        <v>0</v>
      </c>
      <c r="R47" s="596">
        <f>'County One Time Input-GROWTH'!F47</f>
        <v>2.67186708E-2</v>
      </c>
      <c r="S47" s="261">
        <f>S$19*R47</f>
        <v>0</v>
      </c>
    </row>
    <row r="48" spans="1:19" ht="15.75" outlineLevel="1" x14ac:dyDescent="0.5">
      <c r="A48" s="262"/>
      <c r="B48" s="263" t="s">
        <v>72</v>
      </c>
      <c r="C48" s="264"/>
      <c r="D48" s="265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7"/>
      <c r="R48" s="593"/>
      <c r="S48" s="267" t="e">
        <f>S$20*$B48</f>
        <v>#VALUE!</v>
      </c>
    </row>
    <row r="49" spans="1:19" outlineLevel="1" x14ac:dyDescent="0.45">
      <c r="A49" s="276" t="s">
        <v>29</v>
      </c>
      <c r="B49" s="710">
        <v>0.6750743881344401</v>
      </c>
      <c r="C49" s="264">
        <f>$C$47*B49</f>
        <v>411009.16906547325</v>
      </c>
      <c r="D49" s="265">
        <f t="shared" si="11"/>
        <v>393949.67952142219</v>
      </c>
      <c r="E49" s="266">
        <f t="shared" ref="E49:P51" si="21">E$47*$B49</f>
        <v>31603.221403711395</v>
      </c>
      <c r="F49" s="266">
        <f t="shared" si="21"/>
        <v>31648.930276572668</v>
      </c>
      <c r="G49" s="266">
        <f t="shared" si="21"/>
        <v>41330.115398874186</v>
      </c>
      <c r="H49" s="266">
        <f t="shared" si="21"/>
        <v>31593.241673892211</v>
      </c>
      <c r="I49" s="266">
        <f t="shared" si="21"/>
        <v>33264.197549582583</v>
      </c>
      <c r="J49" s="266">
        <f t="shared" si="21"/>
        <v>48982.686050051758</v>
      </c>
      <c r="K49" s="266">
        <f t="shared" si="21"/>
        <v>30820.101637658128</v>
      </c>
      <c r="L49" s="266">
        <f t="shared" si="21"/>
        <v>26385.033254736267</v>
      </c>
      <c r="M49" s="266">
        <f t="shared" si="21"/>
        <v>42481.890984017315</v>
      </c>
      <c r="N49" s="266">
        <f t="shared" si="21"/>
        <v>30912.639097274379</v>
      </c>
      <c r="O49" s="266">
        <f t="shared" si="21"/>
        <v>44927.622195051204</v>
      </c>
      <c r="P49" s="267">
        <f t="shared" si="21"/>
        <v>0</v>
      </c>
      <c r="R49" s="594"/>
      <c r="S49" s="267">
        <f>S$20*$B49</f>
        <v>0</v>
      </c>
    </row>
    <row r="50" spans="1:19" outlineLevel="1" x14ac:dyDescent="0.45">
      <c r="A50" s="276" t="s">
        <v>61</v>
      </c>
      <c r="B50" s="710">
        <v>0.31521388655034555</v>
      </c>
      <c r="C50" s="264">
        <f>$C$47*B50</f>
        <v>191913.36520258419</v>
      </c>
      <c r="D50" s="265">
        <f t="shared" si="11"/>
        <v>183947.74230789003</v>
      </c>
      <c r="E50" s="266">
        <f t="shared" si="21"/>
        <v>14756.55782721098</v>
      </c>
      <c r="F50" s="266">
        <f t="shared" si="21"/>
        <v>14777.900766178425</v>
      </c>
      <c r="G50" s="266">
        <f t="shared" si="21"/>
        <v>19298.356648451227</v>
      </c>
      <c r="H50" s="266">
        <f t="shared" si="21"/>
        <v>14751.897971233153</v>
      </c>
      <c r="I50" s="266">
        <f t="shared" si="21"/>
        <v>15532.120869758528</v>
      </c>
      <c r="J50" s="266">
        <f t="shared" si="21"/>
        <v>22871.587361180333</v>
      </c>
      <c r="K50" s="266">
        <f t="shared" si="21"/>
        <v>14390.894087879653</v>
      </c>
      <c r="L50" s="266">
        <f t="shared" si="21"/>
        <v>12320.018393779188</v>
      </c>
      <c r="M50" s="266">
        <f t="shared" si="21"/>
        <v>19836.157615289958</v>
      </c>
      <c r="N50" s="266">
        <f t="shared" si="21"/>
        <v>14434.102796149185</v>
      </c>
      <c r="O50" s="266">
        <f t="shared" si="21"/>
        <v>20978.14797077941</v>
      </c>
      <c r="P50" s="267">
        <f t="shared" si="21"/>
        <v>0</v>
      </c>
      <c r="R50" s="594"/>
      <c r="S50" s="267">
        <f>S$20*$B50</f>
        <v>0</v>
      </c>
    </row>
    <row r="51" spans="1:19" outlineLevel="1" x14ac:dyDescent="0.45">
      <c r="A51" s="276" t="s">
        <v>62</v>
      </c>
      <c r="B51" s="710">
        <v>9.7117253152142584E-3</v>
      </c>
      <c r="C51" s="264">
        <f>$C$47*B51</f>
        <v>5912.8419358777546</v>
      </c>
      <c r="D51" s="265">
        <f t="shared" si="11"/>
        <v>5667.4214616580102</v>
      </c>
      <c r="E51" s="266">
        <f t="shared" ref="E51:H51" si="22">+E47-E49-E50</f>
        <v>454.64886647073399</v>
      </c>
      <c r="F51" s="266">
        <f t="shared" si="22"/>
        <v>455.30644143654536</v>
      </c>
      <c r="G51" s="266">
        <f t="shared" si="22"/>
        <v>594.58147880443721</v>
      </c>
      <c r="H51" s="266">
        <f t="shared" si="22"/>
        <v>454.50529652284968</v>
      </c>
      <c r="I51" s="266">
        <f t="shared" ref="I51:O51" si="23">+I47-I49-I50</f>
        <v>478.54392806298347</v>
      </c>
      <c r="J51" s="266">
        <f t="shared" si="23"/>
        <v>704.67255235988705</v>
      </c>
      <c r="K51" s="266">
        <f t="shared" si="23"/>
        <v>443.38278351676126</v>
      </c>
      <c r="L51" s="266">
        <f t="shared" si="23"/>
        <v>379.57919883603245</v>
      </c>
      <c r="M51" s="266">
        <f t="shared" si="23"/>
        <v>611.151101803458</v>
      </c>
      <c r="N51" s="266">
        <f t="shared" si="23"/>
        <v>444.71404182689366</v>
      </c>
      <c r="O51" s="266">
        <f t="shared" si="23"/>
        <v>646.3357720174281</v>
      </c>
      <c r="P51" s="267">
        <f t="shared" si="21"/>
        <v>0</v>
      </c>
      <c r="R51" s="594"/>
      <c r="S51" s="267">
        <f>S$20*$B51</f>
        <v>0</v>
      </c>
    </row>
    <row r="52" spans="1:19" outlineLevel="1" x14ac:dyDescent="0.45">
      <c r="A52" s="270" t="s">
        <v>81</v>
      </c>
      <c r="B52" s="269">
        <f t="shared" ref="B52:P52" si="24">SUBTOTAL(9,B49:B51)</f>
        <v>0.99999999999999989</v>
      </c>
      <c r="C52" s="264">
        <f t="shared" si="24"/>
        <v>608835.37620393524</v>
      </c>
      <c r="D52" s="264">
        <f t="shared" si="11"/>
        <v>583564.8432909702</v>
      </c>
      <c r="E52" s="265">
        <f t="shared" ref="E52:H52" si="25">SUBTOTAL(9,E49:E51)</f>
        <v>46814.428097393109</v>
      </c>
      <c r="F52" s="265">
        <f t="shared" si="25"/>
        <v>46882.137484187639</v>
      </c>
      <c r="G52" s="265">
        <f t="shared" si="25"/>
        <v>61223.05352612985</v>
      </c>
      <c r="H52" s="265">
        <f t="shared" si="25"/>
        <v>46799.644941648221</v>
      </c>
      <c r="I52" s="265">
        <f t="shared" si="24"/>
        <v>49274.862347404094</v>
      </c>
      <c r="J52" s="265">
        <f t="shared" si="24"/>
        <v>72558.945963591977</v>
      </c>
      <c r="K52" s="265">
        <f t="shared" si="24"/>
        <v>45654.378509054543</v>
      </c>
      <c r="L52" s="265">
        <f t="shared" si="24"/>
        <v>39084.63084735148</v>
      </c>
      <c r="M52" s="265">
        <f t="shared" si="24"/>
        <v>62929.199701110731</v>
      </c>
      <c r="N52" s="265">
        <f t="shared" si="24"/>
        <v>45791.455935250458</v>
      </c>
      <c r="O52" s="265">
        <f t="shared" si="24"/>
        <v>66552.105937848042</v>
      </c>
      <c r="P52" s="277">
        <f t="shared" si="24"/>
        <v>0</v>
      </c>
      <c r="R52" s="594"/>
      <c r="S52" s="277">
        <f>S$20*$B52</f>
        <v>0</v>
      </c>
    </row>
    <row r="53" spans="1:19" ht="14.65" thickBot="1" x14ac:dyDescent="0.5">
      <c r="A53" s="195" t="s">
        <v>31</v>
      </c>
      <c r="B53" s="278">
        <f>'County One Time Input-BASE'!F51</f>
        <v>0</v>
      </c>
      <c r="C53" s="279">
        <f>B53*C$14</f>
        <v>0</v>
      </c>
      <c r="D53" s="259">
        <f t="shared" si="11"/>
        <v>0</v>
      </c>
      <c r="E53" s="281">
        <f t="shared" ref="E53:P53" si="26">E$14*$B53</f>
        <v>0</v>
      </c>
      <c r="F53" s="281">
        <f t="shared" si="26"/>
        <v>0</v>
      </c>
      <c r="G53" s="281">
        <f t="shared" si="26"/>
        <v>0</v>
      </c>
      <c r="H53" s="281">
        <f t="shared" si="26"/>
        <v>0</v>
      </c>
      <c r="I53" s="281">
        <f t="shared" si="26"/>
        <v>0</v>
      </c>
      <c r="J53" s="281">
        <f t="shared" si="26"/>
        <v>0</v>
      </c>
      <c r="K53" s="281">
        <f t="shared" si="26"/>
        <v>0</v>
      </c>
      <c r="L53" s="281">
        <f t="shared" si="26"/>
        <v>0</v>
      </c>
      <c r="M53" s="281">
        <f t="shared" si="26"/>
        <v>0</v>
      </c>
      <c r="N53" s="281">
        <f t="shared" si="26"/>
        <v>0</v>
      </c>
      <c r="O53" s="281">
        <f t="shared" si="26"/>
        <v>0</v>
      </c>
      <c r="P53" s="282">
        <f t="shared" si="26"/>
        <v>0</v>
      </c>
      <c r="R53" s="597">
        <f>'County One Time Input-GROWTH'!F48</f>
        <v>0</v>
      </c>
      <c r="S53" s="282">
        <f>S$19*R53</f>
        <v>0</v>
      </c>
    </row>
    <row r="54" spans="1:19" ht="14.65" thickBot="1" x14ac:dyDescent="0.5">
      <c r="A54" s="55" t="s">
        <v>95</v>
      </c>
      <c r="B54" s="56">
        <f t="shared" ref="B54:P54" si="27">+B25+B26+B27+B28+B29+B30+B46+B47+B53</f>
        <v>1</v>
      </c>
      <c r="C54" s="65">
        <f t="shared" si="27"/>
        <v>22786888.642826322</v>
      </c>
      <c r="D54" s="65">
        <f t="shared" si="27"/>
        <v>21841088.116216101</v>
      </c>
      <c r="E54" s="136">
        <f t="shared" si="27"/>
        <v>1752124.14</v>
      </c>
      <c r="F54" s="136">
        <f t="shared" si="27"/>
        <v>1754658.3</v>
      </c>
      <c r="G54" s="136">
        <f t="shared" si="27"/>
        <v>2291395.9300000006</v>
      </c>
      <c r="H54" s="136">
        <f t="shared" si="27"/>
        <v>1751570.8506595397</v>
      </c>
      <c r="I54" s="136">
        <f t="shared" si="27"/>
        <v>1844210.8410349549</v>
      </c>
      <c r="J54" s="136">
        <f t="shared" si="27"/>
        <v>2715664.5069182101</v>
      </c>
      <c r="K54" s="136">
        <f t="shared" si="27"/>
        <v>1708706.9506861302</v>
      </c>
      <c r="L54" s="136">
        <f t="shared" si="27"/>
        <v>1462820.929226445</v>
      </c>
      <c r="M54" s="136">
        <f t="shared" si="27"/>
        <v>2355251.8825566252</v>
      </c>
      <c r="N54" s="136">
        <f t="shared" si="27"/>
        <v>1713837.3490963653</v>
      </c>
      <c r="O54" s="136">
        <f t="shared" si="27"/>
        <v>2490846.4360378301</v>
      </c>
      <c r="P54" s="137">
        <f t="shared" si="27"/>
        <v>0</v>
      </c>
      <c r="R54" s="590">
        <f>R25+R26+R27+R28+R29+R30+R46+R47+R53</f>
        <v>1</v>
      </c>
      <c r="S54" s="137">
        <f>+S25+S26+S27+S28+S29+S30+S46+S47+S53</f>
        <v>0</v>
      </c>
    </row>
    <row r="56" spans="1:19" hidden="1" x14ac:dyDescent="0.45"/>
    <row r="57" spans="1:19" hidden="1" x14ac:dyDescent="0.45">
      <c r="A57" t="s">
        <v>43</v>
      </c>
      <c r="C57" s="39">
        <f>C15</f>
        <v>13632289.879742075</v>
      </c>
      <c r="D57" s="39"/>
    </row>
    <row r="58" spans="1:19" ht="14.65" hidden="1" thickBot="1" x14ac:dyDescent="0.5"/>
    <row r="59" spans="1:19" ht="57.4" hidden="1" thickBot="1" x14ac:dyDescent="0.5">
      <c r="A59" s="316" t="s">
        <v>37</v>
      </c>
      <c r="B59" s="315" t="str">
        <f>CONCATENATE('County One Time Input-BASE'!C2," County % Distribution (PROG/TOT BH)")</f>
        <v>San Mateo County % Distribution (PROG/TOT BH)</v>
      </c>
      <c r="C59" s="315" t="str">
        <f>CONCATENATE('County One Time Input-BASE'!C2," County Portion (Distribution to Programs)")</f>
        <v>San Mateo County Portion (Distribution to Programs)</v>
      </c>
      <c r="D59" s="57" t="str">
        <f>D3</f>
        <v>RECEIPTS THROUGH JULY</v>
      </c>
      <c r="E59" s="27" t="s">
        <v>7</v>
      </c>
      <c r="F59" s="27" t="s">
        <v>8</v>
      </c>
      <c r="G59" s="27" t="s">
        <v>9</v>
      </c>
      <c r="H59" s="27" t="s">
        <v>10</v>
      </c>
      <c r="I59" s="27" t="s">
        <v>11</v>
      </c>
      <c r="J59" s="27" t="s">
        <v>12</v>
      </c>
      <c r="K59" s="27" t="s">
        <v>13</v>
      </c>
      <c r="L59" s="27" t="s">
        <v>14</v>
      </c>
      <c r="M59" s="27" t="s">
        <v>15</v>
      </c>
      <c r="N59" s="27" t="s">
        <v>16</v>
      </c>
      <c r="O59" s="27" t="s">
        <v>17</v>
      </c>
      <c r="P59" s="28" t="s">
        <v>18</v>
      </c>
      <c r="R59" s="412" t="s">
        <v>175</v>
      </c>
      <c r="S59" s="598" t="s">
        <v>172</v>
      </c>
    </row>
    <row r="60" spans="1:19" ht="4.5" hidden="1" customHeight="1" thickBot="1" x14ac:dyDescent="0.5">
      <c r="A60" s="40"/>
      <c r="B60" s="41"/>
      <c r="C60" s="41"/>
      <c r="D60" s="41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3"/>
      <c r="R60" s="589"/>
      <c r="S60" s="43"/>
    </row>
    <row r="61" spans="1:19" hidden="1" x14ac:dyDescent="0.45">
      <c r="A61" s="283" t="s">
        <v>44</v>
      </c>
      <c r="B61" s="284">
        <f>'County One Time Input-BASE'!F60</f>
        <v>0.2029597891992356</v>
      </c>
      <c r="C61" s="285">
        <f>C$57*B61</f>
        <v>2766806.6802953244</v>
      </c>
      <c r="D61" s="254">
        <f>SUM(E61:P61)+S61</f>
        <v>2652407.2800000003</v>
      </c>
      <c r="E61" s="255">
        <f>ROUND(E$15*$B61,2)</f>
        <v>212946.37</v>
      </c>
      <c r="F61" s="255">
        <f t="shared" ref="F61:P61" si="28">ROUND(F$15*$B61,2)</f>
        <v>213255.64</v>
      </c>
      <c r="G61" s="255">
        <f t="shared" si="28"/>
        <v>278759.99</v>
      </c>
      <c r="H61" s="255">
        <f t="shared" si="28"/>
        <v>212160.87</v>
      </c>
      <c r="I61" s="255">
        <f t="shared" si="28"/>
        <v>223452.5</v>
      </c>
      <c r="J61" s="255">
        <f t="shared" si="28"/>
        <v>330119.17</v>
      </c>
      <c r="K61" s="255">
        <f t="shared" si="28"/>
        <v>207383.87</v>
      </c>
      <c r="L61" s="255">
        <f t="shared" si="28"/>
        <v>177413.5</v>
      </c>
      <c r="M61" s="255">
        <f t="shared" si="28"/>
        <v>286189.46000000002</v>
      </c>
      <c r="N61" s="255">
        <f t="shared" si="28"/>
        <v>208009.2</v>
      </c>
      <c r="O61" s="255">
        <f t="shared" si="28"/>
        <v>302716.71000000002</v>
      </c>
      <c r="P61" s="256">
        <f t="shared" si="28"/>
        <v>0</v>
      </c>
      <c r="R61" s="603">
        <f>'County One Time Input-GROWTH'!F57</f>
        <v>0.2029597891992356</v>
      </c>
      <c r="S61" s="599">
        <f>ROUND(S$15*$R61,2)</f>
        <v>0</v>
      </c>
    </row>
    <row r="62" spans="1:19" ht="15.75" hidden="1" outlineLevel="1" x14ac:dyDescent="0.5">
      <c r="A62" s="262"/>
      <c r="B62" s="263" t="s">
        <v>71</v>
      </c>
      <c r="C62" s="264"/>
      <c r="D62" s="265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7"/>
      <c r="R62" s="593"/>
      <c r="S62" s="600"/>
    </row>
    <row r="63" spans="1:19" hidden="1" outlineLevel="1" x14ac:dyDescent="0.45">
      <c r="A63" s="276" t="s">
        <v>63</v>
      </c>
      <c r="B63" s="269">
        <v>0.73449730765567134</v>
      </c>
      <c r="C63" s="264">
        <f>C$61*B63</f>
        <v>2032212.0574806416</v>
      </c>
      <c r="D63" s="265">
        <f>SUM(E63:P63)+S63</f>
        <v>1948186.0059663025</v>
      </c>
      <c r="E63" s="266">
        <f t="shared" ref="E63:P65" si="29">E$61*$B63</f>
        <v>156408.53544004841</v>
      </c>
      <c r="F63" s="266">
        <f t="shared" si="29"/>
        <v>156635.69342238709</v>
      </c>
      <c r="G63" s="266">
        <f t="shared" si="29"/>
        <v>204748.46213712185</v>
      </c>
      <c r="H63" s="266">
        <f t="shared" si="29"/>
        <v>155831.58780488488</v>
      </c>
      <c r="I63" s="266">
        <f t="shared" si="29"/>
        <v>164125.2596389289</v>
      </c>
      <c r="J63" s="266">
        <f t="shared" si="29"/>
        <v>242471.64157052487</v>
      </c>
      <c r="K63" s="266">
        <f t="shared" si="29"/>
        <v>152322.89416621375</v>
      </c>
      <c r="L63" s="266">
        <f t="shared" si="29"/>
        <v>130309.73809176945</v>
      </c>
      <c r="M63" s="266">
        <f t="shared" si="29"/>
        <v>210205.38784943047</v>
      </c>
      <c r="N63" s="266">
        <f t="shared" si="29"/>
        <v>152782.19736761009</v>
      </c>
      <c r="O63" s="266">
        <f t="shared" si="29"/>
        <v>222344.60847738266</v>
      </c>
      <c r="P63" s="267">
        <f t="shared" si="29"/>
        <v>0</v>
      </c>
      <c r="R63" s="594"/>
      <c r="S63" s="600">
        <f>S$61*$B63</f>
        <v>0</v>
      </c>
    </row>
    <row r="64" spans="1:19" hidden="1" outlineLevel="1" x14ac:dyDescent="0.45">
      <c r="A64" s="276" t="s">
        <v>64</v>
      </c>
      <c r="B64" s="269">
        <v>0.11505079313494221</v>
      </c>
      <c r="C64" s="264">
        <f>$C$61*B64</f>
        <v>318323.30301903357</v>
      </c>
      <c r="D64" s="265">
        <f>SUM(E64:P64)+S64</f>
        <v>305161.56128089473</v>
      </c>
      <c r="E64" s="266">
        <f t="shared" si="29"/>
        <v>24499.648763706864</v>
      </c>
      <c r="F64" s="266">
        <f t="shared" si="29"/>
        <v>24535.230522499707</v>
      </c>
      <c r="G64" s="266">
        <f t="shared" si="29"/>
        <v>32071.557943788557</v>
      </c>
      <c r="H64" s="266">
        <f t="shared" si="29"/>
        <v>24409.276365699367</v>
      </c>
      <c r="I64" s="266">
        <f t="shared" si="29"/>
        <v>25708.387352985676</v>
      </c>
      <c r="J64" s="266">
        <f t="shared" si="29"/>
        <v>37980.472337548817</v>
      </c>
      <c r="K64" s="266">
        <f t="shared" si="29"/>
        <v>23859.678726893748</v>
      </c>
      <c r="L64" s="266">
        <f t="shared" si="29"/>
        <v>20411.56388784607</v>
      </c>
      <c r="M64" s="266">
        <f t="shared" si="29"/>
        <v>32926.324359860817</v>
      </c>
      <c r="N64" s="266">
        <f t="shared" si="29"/>
        <v>23931.623439364823</v>
      </c>
      <c r="O64" s="266">
        <f t="shared" si="29"/>
        <v>34827.797580700295</v>
      </c>
      <c r="P64" s="267">
        <f t="shared" si="29"/>
        <v>0</v>
      </c>
      <c r="R64" s="594"/>
      <c r="S64" s="600">
        <f>S$61*$B64</f>
        <v>0</v>
      </c>
    </row>
    <row r="65" spans="1:19" hidden="1" outlineLevel="1" x14ac:dyDescent="0.45">
      <c r="A65" s="276" t="s">
        <v>65</v>
      </c>
      <c r="B65" s="269">
        <v>0.15045189920938651</v>
      </c>
      <c r="C65" s="264">
        <f>$C$61*B65</f>
        <v>416271.31979564944</v>
      </c>
      <c r="D65" s="265">
        <f>SUM(E65:P65)+S65</f>
        <v>399059.712752803</v>
      </c>
      <c r="E65" s="266">
        <f t="shared" si="29"/>
        <v>32038.185796244725</v>
      </c>
      <c r="F65" s="266">
        <f t="shared" si="29"/>
        <v>32084.716055113215</v>
      </c>
      <c r="G65" s="266">
        <f t="shared" si="29"/>
        <v>41939.969919089592</v>
      </c>
      <c r="H65" s="266">
        <f t="shared" si="29"/>
        <v>31920.005829415753</v>
      </c>
      <c r="I65" s="266">
        <f t="shared" si="29"/>
        <v>33618.85300808544</v>
      </c>
      <c r="J65" s="266">
        <f t="shared" si="29"/>
        <v>49667.05609192633</v>
      </c>
      <c r="K65" s="266">
        <f t="shared" si="29"/>
        <v>31201.297106892514</v>
      </c>
      <c r="L65" s="266">
        <f t="shared" si="29"/>
        <v>26692.198020384494</v>
      </c>
      <c r="M65" s="266">
        <f t="shared" si="29"/>
        <v>43057.747790708752</v>
      </c>
      <c r="N65" s="266">
        <f t="shared" si="29"/>
        <v>31295.379193025121</v>
      </c>
      <c r="O65" s="266">
        <f t="shared" si="29"/>
        <v>45544.303941917089</v>
      </c>
      <c r="P65" s="267">
        <f t="shared" si="29"/>
        <v>0</v>
      </c>
      <c r="R65" s="594"/>
      <c r="S65" s="600">
        <f>S$61*$B65</f>
        <v>0</v>
      </c>
    </row>
    <row r="66" spans="1:19" hidden="1" outlineLevel="1" x14ac:dyDescent="0.45">
      <c r="A66" s="270" t="s">
        <v>77</v>
      </c>
      <c r="B66" s="269">
        <f t="shared" ref="B66:P66" si="30">SUBTOTAL(9,B63:B65)</f>
        <v>1</v>
      </c>
      <c r="C66" s="264">
        <f t="shared" si="30"/>
        <v>2766806.6802953249</v>
      </c>
      <c r="D66" s="265">
        <f>SUM(E66:P66)+S66</f>
        <v>2652407.2800000003</v>
      </c>
      <c r="E66" s="264">
        <f t="shared" si="30"/>
        <v>212946.37</v>
      </c>
      <c r="F66" s="264">
        <f t="shared" si="30"/>
        <v>213255.64</v>
      </c>
      <c r="G66" s="264">
        <f t="shared" si="30"/>
        <v>278759.99</v>
      </c>
      <c r="H66" s="264">
        <f t="shared" si="30"/>
        <v>212160.87</v>
      </c>
      <c r="I66" s="264">
        <f t="shared" si="30"/>
        <v>223452.5</v>
      </c>
      <c r="J66" s="264">
        <f t="shared" si="30"/>
        <v>330119.17000000004</v>
      </c>
      <c r="K66" s="264">
        <f t="shared" si="30"/>
        <v>207383.87</v>
      </c>
      <c r="L66" s="264">
        <f t="shared" si="30"/>
        <v>177413.50000000003</v>
      </c>
      <c r="M66" s="264">
        <f t="shared" si="30"/>
        <v>286189.46000000002</v>
      </c>
      <c r="N66" s="264">
        <f t="shared" si="30"/>
        <v>208009.20000000004</v>
      </c>
      <c r="O66" s="264">
        <f t="shared" si="30"/>
        <v>302716.71000000002</v>
      </c>
      <c r="P66" s="286">
        <f t="shared" si="30"/>
        <v>0</v>
      </c>
      <c r="R66" s="594"/>
      <c r="S66" s="601">
        <f>SUBTOTAL(9,S63:S65)</f>
        <v>0</v>
      </c>
    </row>
    <row r="67" spans="1:19" ht="14.65" hidden="1" collapsed="1" thickBot="1" x14ac:dyDescent="0.5">
      <c r="A67" s="287" t="s">
        <v>45</v>
      </c>
      <c r="B67" s="288">
        <f>'County One Time Input-BASE'!F61</f>
        <v>0.79704021080076437</v>
      </c>
      <c r="C67" s="289">
        <f>C$57*B67</f>
        <v>10865483.199446751</v>
      </c>
      <c r="D67" s="280">
        <f>SUM(E67:P67)+S67</f>
        <v>10416227.18</v>
      </c>
      <c r="E67" s="281">
        <f>ROUND(E$15*$B67,2)</f>
        <v>836258.36</v>
      </c>
      <c r="F67" s="281">
        <f t="shared" ref="F67:P67" si="31">ROUND(F$15*$B67,2)</f>
        <v>837472.9</v>
      </c>
      <c r="G67" s="281">
        <f t="shared" si="31"/>
        <v>1094713.98</v>
      </c>
      <c r="H67" s="281">
        <f t="shared" si="31"/>
        <v>833173.62</v>
      </c>
      <c r="I67" s="281">
        <f t="shared" si="31"/>
        <v>877516.83</v>
      </c>
      <c r="J67" s="281">
        <f t="shared" si="31"/>
        <v>1296405.8400000001</v>
      </c>
      <c r="K67" s="281">
        <f t="shared" si="31"/>
        <v>814413.96</v>
      </c>
      <c r="L67" s="281">
        <f t="shared" si="31"/>
        <v>696717.77</v>
      </c>
      <c r="M67" s="281">
        <f t="shared" si="31"/>
        <v>1123890.17</v>
      </c>
      <c r="N67" s="281">
        <f t="shared" si="31"/>
        <v>816869.68</v>
      </c>
      <c r="O67" s="281">
        <f t="shared" si="31"/>
        <v>1188794.07</v>
      </c>
      <c r="P67" s="282">
        <f t="shared" si="31"/>
        <v>0</v>
      </c>
      <c r="R67" s="604">
        <f>'County One Time Input-GROWTH'!F58</f>
        <v>0.79704021080076437</v>
      </c>
      <c r="S67" s="602">
        <f>ROUND(S$15*$R67,2)</f>
        <v>0</v>
      </c>
    </row>
    <row r="68" spans="1:19" ht="16.149999999999999" hidden="1" outlineLevel="1" thickBot="1" x14ac:dyDescent="0.55000000000000004">
      <c r="A68" s="68"/>
      <c r="B68" s="69" t="s">
        <v>74</v>
      </c>
      <c r="C68" s="70"/>
      <c r="D68" s="71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3"/>
      <c r="R68" s="605"/>
    </row>
    <row r="69" spans="1:19" ht="14.65" hidden="1" outlineLevel="1" thickBot="1" x14ac:dyDescent="0.5">
      <c r="A69" s="79" t="s">
        <v>66</v>
      </c>
      <c r="B69" s="74">
        <v>0.74815819365314751</v>
      </c>
      <c r="C69" s="75">
        <f>$C$67*B69</f>
        <v>8129100.2836667029</v>
      </c>
      <c r="D69" s="76">
        <f>SUM(E69:P69)+S69</f>
        <v>7792985.7116696192</v>
      </c>
      <c r="E69" s="77">
        <f t="shared" ref="E69:P69" si="32">E$67*$B69</f>
        <v>625653.54404494353</v>
      </c>
      <c r="F69" s="77">
        <f t="shared" si="32"/>
        <v>626562.21209746308</v>
      </c>
      <c r="G69" s="77">
        <f t="shared" si="32"/>
        <v>819019.23384364787</v>
      </c>
      <c r="H69" s="77">
        <f t="shared" si="32"/>
        <v>623345.67053865397</v>
      </c>
      <c r="I69" s="77">
        <f t="shared" si="32"/>
        <v>656521.40643303609</v>
      </c>
      <c r="J69" s="77">
        <f t="shared" si="32"/>
        <v>969916.65149579139</v>
      </c>
      <c r="K69" s="77">
        <f t="shared" si="32"/>
        <v>609310.47719950671</v>
      </c>
      <c r="L69" s="77">
        <f t="shared" si="32"/>
        <v>521255.10828924912</v>
      </c>
      <c r="M69" s="77">
        <f t="shared" si="32"/>
        <v>840847.63945172878</v>
      </c>
      <c r="N69" s="77">
        <f t="shared" si="32"/>
        <v>611147.7442388247</v>
      </c>
      <c r="O69" s="77">
        <f t="shared" si="32"/>
        <v>889406.02403677348</v>
      </c>
      <c r="P69" s="78">
        <f t="shared" si="32"/>
        <v>0</v>
      </c>
      <c r="R69" s="606"/>
    </row>
    <row r="70" spans="1:19" s="129" customFormat="1" ht="14.65" hidden="1" outlineLevel="2" thickBot="1" x14ac:dyDescent="0.5">
      <c r="A70" s="90"/>
      <c r="B70" s="88" t="s">
        <v>75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91"/>
      <c r="R70" s="607"/>
    </row>
    <row r="71" spans="1:19" s="129" customFormat="1" ht="14.65" hidden="1" outlineLevel="2" thickBot="1" x14ac:dyDescent="0.5">
      <c r="A71" s="92" t="s">
        <v>68</v>
      </c>
      <c r="B71" s="86">
        <v>2.9538024408195404E-2</v>
      </c>
      <c r="C71" s="87">
        <f>C$69*$B71</f>
        <v>240117.56259561525</v>
      </c>
      <c r="D71" s="85">
        <f>SUM(E71:P71)+S71</f>
        <v>230189.40216401522</v>
      </c>
      <c r="E71" s="87">
        <f t="shared" ref="E71:P73" si="33">E$69*$B71</f>
        <v>18480.569655073501</v>
      </c>
      <c r="F71" s="87">
        <f t="shared" si="33"/>
        <v>18507.40991418777</v>
      </c>
      <c r="G71" s="87">
        <f t="shared" si="33"/>
        <v>24192.21012005517</v>
      </c>
      <c r="H71" s="87">
        <f t="shared" si="33"/>
        <v>18412.399631113691</v>
      </c>
      <c r="I71" s="87">
        <f t="shared" si="33"/>
        <v>19392.345327721796</v>
      </c>
      <c r="J71" s="87">
        <f t="shared" si="33"/>
        <v>28649.421725797842</v>
      </c>
      <c r="K71" s="87">
        <f t="shared" si="33"/>
        <v>17997.827747688218</v>
      </c>
      <c r="L71" s="87">
        <f t="shared" si="33"/>
        <v>15396.846111544379</v>
      </c>
      <c r="M71" s="87">
        <f t="shared" si="33"/>
        <v>24836.978097698655</v>
      </c>
      <c r="N71" s="87">
        <f t="shared" si="33"/>
        <v>18052.096986339966</v>
      </c>
      <c r="O71" s="87">
        <f t="shared" si="33"/>
        <v>26271.296846794245</v>
      </c>
      <c r="P71" s="93">
        <f t="shared" si="33"/>
        <v>0</v>
      </c>
      <c r="R71" s="608"/>
    </row>
    <row r="72" spans="1:19" s="129" customFormat="1" ht="14.65" hidden="1" outlineLevel="2" thickBot="1" x14ac:dyDescent="0.5">
      <c r="A72" s="92" t="s">
        <v>69</v>
      </c>
      <c r="B72" s="86">
        <v>4.5788473717542751E-2</v>
      </c>
      <c r="C72" s="87">
        <f>C$69*$B72</f>
        <v>372219.09468594217</v>
      </c>
      <c r="D72" s="85">
        <f>SUM(E72:P72)+S72</f>
        <v>356828.92143997055</v>
      </c>
      <c r="E72" s="87">
        <f t="shared" si="33"/>
        <v>28647.720857789373</v>
      </c>
      <c r="F72" s="87">
        <f t="shared" si="33"/>
        <v>28689.327381030136</v>
      </c>
      <c r="G72" s="87">
        <f t="shared" si="33"/>
        <v>37501.640663011873</v>
      </c>
      <c r="H72" s="87">
        <f t="shared" si="33"/>
        <v>28542.046852403219</v>
      </c>
      <c r="I72" s="87">
        <f t="shared" si="33"/>
        <v>30061.113163463277</v>
      </c>
      <c r="J72" s="87">
        <f t="shared" si="33"/>
        <v>44411.003105222117</v>
      </c>
      <c r="K72" s="87">
        <f t="shared" si="33"/>
        <v>27899.396771073043</v>
      </c>
      <c r="L72" s="87">
        <f t="shared" si="33"/>
        <v>23867.475826037185</v>
      </c>
      <c r="M72" s="87">
        <f t="shared" si="33"/>
        <v>38501.13003949335</v>
      </c>
      <c r="N72" s="87">
        <f t="shared" si="33"/>
        <v>27983.522424614963</v>
      </c>
      <c r="O72" s="87">
        <f t="shared" si="33"/>
        <v>40724.544355831997</v>
      </c>
      <c r="P72" s="93">
        <f t="shared" si="33"/>
        <v>0</v>
      </c>
      <c r="R72" s="608"/>
    </row>
    <row r="73" spans="1:19" s="129" customFormat="1" ht="14.65" hidden="1" outlineLevel="2" thickBot="1" x14ac:dyDescent="0.5">
      <c r="A73" s="96" t="s">
        <v>70</v>
      </c>
      <c r="B73" s="97">
        <v>0.92467350187426189</v>
      </c>
      <c r="C73" s="98">
        <f>C$69*$B73</f>
        <v>7516763.6263851458</v>
      </c>
      <c r="D73" s="85">
        <f>SUM(E73:P73)+S73</f>
        <v>7205967.3880656343</v>
      </c>
      <c r="E73" s="98">
        <f t="shared" si="33"/>
        <v>578525.25353208068</v>
      </c>
      <c r="F73" s="98">
        <f t="shared" si="33"/>
        <v>579365.47480224515</v>
      </c>
      <c r="G73" s="98">
        <f t="shared" si="33"/>
        <v>757325.38306058082</v>
      </c>
      <c r="H73" s="98">
        <f t="shared" si="33"/>
        <v>576391.22405513714</v>
      </c>
      <c r="I73" s="98">
        <f t="shared" si="33"/>
        <v>607067.9479418511</v>
      </c>
      <c r="J73" s="98">
        <f t="shared" si="33"/>
        <v>896856.22666477144</v>
      </c>
      <c r="K73" s="98">
        <f t="shared" si="33"/>
        <v>563413.25268074544</v>
      </c>
      <c r="L73" s="98">
        <f t="shared" si="33"/>
        <v>481990.7863516676</v>
      </c>
      <c r="M73" s="98">
        <f t="shared" si="33"/>
        <v>777509.53131453681</v>
      </c>
      <c r="N73" s="98">
        <f t="shared" si="33"/>
        <v>565112.12482786982</v>
      </c>
      <c r="O73" s="98">
        <f t="shared" si="33"/>
        <v>822410.18283414724</v>
      </c>
      <c r="P73" s="99">
        <f t="shared" si="33"/>
        <v>0</v>
      </c>
      <c r="R73" s="609"/>
    </row>
    <row r="74" spans="1:19" s="129" customFormat="1" ht="14.65" hidden="1" outlineLevel="2" thickBot="1" x14ac:dyDescent="0.5">
      <c r="A74" s="94" t="s">
        <v>76</v>
      </c>
      <c r="B74" s="95">
        <f t="shared" ref="B74:P74" si="34">SUM(B71:B73)</f>
        <v>1</v>
      </c>
      <c r="C74" s="100">
        <f t="shared" si="34"/>
        <v>8129100.2836667029</v>
      </c>
      <c r="D74" s="100">
        <f t="shared" si="34"/>
        <v>7792985.7116696201</v>
      </c>
      <c r="E74" s="100">
        <f t="shared" si="34"/>
        <v>625653.54404494353</v>
      </c>
      <c r="F74" s="100">
        <f t="shared" si="34"/>
        <v>626562.21209746308</v>
      </c>
      <c r="G74" s="100">
        <f t="shared" si="34"/>
        <v>819019.23384364787</v>
      </c>
      <c r="H74" s="100">
        <f t="shared" si="34"/>
        <v>623345.67053865409</v>
      </c>
      <c r="I74" s="100">
        <f t="shared" si="34"/>
        <v>656521.4064330362</v>
      </c>
      <c r="J74" s="100">
        <f t="shared" si="34"/>
        <v>969916.65149579139</v>
      </c>
      <c r="K74" s="100">
        <f t="shared" si="34"/>
        <v>609310.47719950671</v>
      </c>
      <c r="L74" s="100">
        <f t="shared" si="34"/>
        <v>521255.10828924918</v>
      </c>
      <c r="M74" s="100">
        <f t="shared" si="34"/>
        <v>840847.63945172878</v>
      </c>
      <c r="N74" s="100">
        <f t="shared" si="34"/>
        <v>611147.7442388247</v>
      </c>
      <c r="O74" s="100">
        <f t="shared" si="34"/>
        <v>889406.02403677348</v>
      </c>
      <c r="P74" s="101">
        <f t="shared" si="34"/>
        <v>0</v>
      </c>
      <c r="R74" s="610"/>
    </row>
    <row r="75" spans="1:19" ht="14.65" hidden="1" outlineLevel="1" collapsed="1" thickBot="1" x14ac:dyDescent="0.5">
      <c r="A75" s="79" t="s">
        <v>67</v>
      </c>
      <c r="B75" s="74">
        <v>0.25184180634685249</v>
      </c>
      <c r="C75" s="75">
        <f>$C$67*B75</f>
        <v>2736382.9157800479</v>
      </c>
      <c r="D75" s="76">
        <f>SUM(E75:P75)+S75</f>
        <v>2623241.4683303819</v>
      </c>
      <c r="E75" s="77">
        <f t="shared" ref="E75:P75" si="35">E$67*$B75</f>
        <v>210604.81595505646</v>
      </c>
      <c r="F75" s="77">
        <f t="shared" si="35"/>
        <v>210910.68790253697</v>
      </c>
      <c r="G75" s="77">
        <f t="shared" si="35"/>
        <v>275694.74615635216</v>
      </c>
      <c r="H75" s="77">
        <f t="shared" si="35"/>
        <v>209827.94946134606</v>
      </c>
      <c r="I75" s="77">
        <f t="shared" si="35"/>
        <v>220995.42356696387</v>
      </c>
      <c r="J75" s="77">
        <f t="shared" si="35"/>
        <v>326489.18850420864</v>
      </c>
      <c r="K75" s="77">
        <f t="shared" si="35"/>
        <v>205103.48280049325</v>
      </c>
      <c r="L75" s="77">
        <f t="shared" si="35"/>
        <v>175462.66171075092</v>
      </c>
      <c r="M75" s="77">
        <f t="shared" si="35"/>
        <v>283042.53054827108</v>
      </c>
      <c r="N75" s="77">
        <f t="shared" si="35"/>
        <v>205721.93576117538</v>
      </c>
      <c r="O75" s="77">
        <f t="shared" si="35"/>
        <v>299388.04596322664</v>
      </c>
      <c r="P75" s="78">
        <f t="shared" si="35"/>
        <v>0</v>
      </c>
      <c r="R75" s="606"/>
    </row>
    <row r="76" spans="1:19" ht="14.65" hidden="1" outlineLevel="1" thickBot="1" x14ac:dyDescent="0.5">
      <c r="A76" s="102" t="s">
        <v>78</v>
      </c>
      <c r="B76" s="80">
        <f>B69+B75</f>
        <v>1</v>
      </c>
      <c r="C76" s="70">
        <f t="shared" ref="C76:P76" si="36">+C69+C75</f>
        <v>10865483.199446751</v>
      </c>
      <c r="D76" s="70">
        <f>+D69+D75</f>
        <v>10416227.180000002</v>
      </c>
      <c r="E76" s="70">
        <f t="shared" si="36"/>
        <v>836258.36</v>
      </c>
      <c r="F76" s="70">
        <f t="shared" si="36"/>
        <v>837472.9</v>
      </c>
      <c r="G76" s="70">
        <f t="shared" si="36"/>
        <v>1094713.98</v>
      </c>
      <c r="H76" s="70">
        <f t="shared" si="36"/>
        <v>833173.62</v>
      </c>
      <c r="I76" s="70">
        <f t="shared" si="36"/>
        <v>877516.83</v>
      </c>
      <c r="J76" s="70">
        <f t="shared" si="36"/>
        <v>1296405.8400000001</v>
      </c>
      <c r="K76" s="70">
        <f t="shared" si="36"/>
        <v>814413.96</v>
      </c>
      <c r="L76" s="70">
        <f t="shared" si="36"/>
        <v>696717.77</v>
      </c>
      <c r="M76" s="70">
        <f t="shared" si="36"/>
        <v>1123890.17</v>
      </c>
      <c r="N76" s="70">
        <f t="shared" si="36"/>
        <v>816869.68</v>
      </c>
      <c r="O76" s="70">
        <f t="shared" si="36"/>
        <v>1188794.07</v>
      </c>
      <c r="P76" s="81">
        <f t="shared" si="36"/>
        <v>0</v>
      </c>
      <c r="R76" s="611"/>
    </row>
    <row r="77" spans="1:19" ht="14.65" hidden="1" collapsed="1" thickBot="1" x14ac:dyDescent="0.5">
      <c r="A77" s="55" t="s">
        <v>79</v>
      </c>
      <c r="B77" s="51">
        <f t="shared" ref="B77:P77" si="37">B61+B67</f>
        <v>1</v>
      </c>
      <c r="C77" s="59">
        <f t="shared" si="37"/>
        <v>13632289.879742075</v>
      </c>
      <c r="D77" s="59">
        <f t="shared" si="37"/>
        <v>13068634.460000001</v>
      </c>
      <c r="E77" s="209">
        <f t="shared" si="37"/>
        <v>1049204.73</v>
      </c>
      <c r="F77" s="209">
        <f t="shared" si="37"/>
        <v>1050728.54</v>
      </c>
      <c r="G77" s="209">
        <f t="shared" si="37"/>
        <v>1373473.97</v>
      </c>
      <c r="H77" s="209">
        <f t="shared" si="37"/>
        <v>1045334.49</v>
      </c>
      <c r="I77" s="209">
        <f t="shared" si="37"/>
        <v>1100969.33</v>
      </c>
      <c r="J77" s="209">
        <f t="shared" si="37"/>
        <v>1626525.01</v>
      </c>
      <c r="K77" s="209">
        <f t="shared" si="37"/>
        <v>1021797.83</v>
      </c>
      <c r="L77" s="209">
        <f t="shared" si="37"/>
        <v>874131.27</v>
      </c>
      <c r="M77" s="209">
        <f t="shared" si="37"/>
        <v>1410079.63</v>
      </c>
      <c r="N77" s="209">
        <f t="shared" si="37"/>
        <v>1024878.8800000001</v>
      </c>
      <c r="O77" s="209">
        <f t="shared" si="37"/>
        <v>1491510.78</v>
      </c>
      <c r="P77" s="210">
        <f t="shared" si="37"/>
        <v>0</v>
      </c>
      <c r="R77" s="612">
        <f>R61+R67</f>
        <v>1</v>
      </c>
      <c r="S77" s="210">
        <f>S61+S67</f>
        <v>0</v>
      </c>
    </row>
    <row r="78" spans="1:19" hidden="1" x14ac:dyDescent="0.45"/>
    <row r="79" spans="1:19" hidden="1" x14ac:dyDescent="0.45"/>
    <row r="80" spans="1:19" hidden="1" x14ac:dyDescent="0.45">
      <c r="A80" t="s">
        <v>47</v>
      </c>
      <c r="C80" s="39">
        <f>C16</f>
        <v>0</v>
      </c>
    </row>
    <row r="81" spans="1:16" ht="14.65" hidden="1" thickBot="1" x14ac:dyDescent="0.5"/>
    <row r="82" spans="1:16" ht="14.65" hidden="1" thickBot="1" x14ac:dyDescent="0.5">
      <c r="A82" s="55" t="s">
        <v>23</v>
      </c>
      <c r="B82" s="211">
        <v>1</v>
      </c>
      <c r="C82" s="62">
        <f>+C80*B82</f>
        <v>0</v>
      </c>
      <c r="D82" s="66">
        <f>SUM(E82:P82)</f>
        <v>0</v>
      </c>
      <c r="E82" s="63">
        <f t="shared" ref="E82:P82" si="38">E16*$B82</f>
        <v>0</v>
      </c>
      <c r="F82" s="63">
        <f t="shared" si="38"/>
        <v>0</v>
      </c>
      <c r="G82" s="63">
        <f t="shared" si="38"/>
        <v>0</v>
      </c>
      <c r="H82" s="63">
        <f t="shared" si="38"/>
        <v>0</v>
      </c>
      <c r="I82" s="63">
        <f t="shared" si="38"/>
        <v>0</v>
      </c>
      <c r="J82" s="63">
        <f t="shared" si="38"/>
        <v>0</v>
      </c>
      <c r="K82" s="63">
        <f t="shared" si="38"/>
        <v>0</v>
      </c>
      <c r="L82" s="63">
        <f t="shared" si="38"/>
        <v>0</v>
      </c>
      <c r="M82" s="63">
        <f t="shared" si="38"/>
        <v>0</v>
      </c>
      <c r="N82" s="63">
        <f t="shared" si="38"/>
        <v>0</v>
      </c>
      <c r="O82" s="63">
        <f t="shared" si="38"/>
        <v>0</v>
      </c>
      <c r="P82" s="64">
        <f t="shared" si="38"/>
        <v>0</v>
      </c>
    </row>
    <row r="83" spans="1:16" hidden="1" x14ac:dyDescent="0.45"/>
    <row r="84" spans="1:16" hidden="1" x14ac:dyDescent="0.45"/>
    <row r="85" spans="1:16" hidden="1" x14ac:dyDescent="0.45"/>
  </sheetData>
  <phoneticPr fontId="18" type="noConversion"/>
  <dataValidations count="1">
    <dataValidation allowBlank="1" showInputMessage="1" showErrorMessage="1" prompt="Please spell out the month, do not abbreviate" sqref="D1"/>
  </dataValidations>
  <hyperlinks>
    <hyperlink ref="A5" r:id="rId1"/>
    <hyperlink ref="A6" r:id="rId2"/>
    <hyperlink ref="A7" r:id="rId3"/>
    <hyperlink ref="A14" r:id="rId4"/>
    <hyperlink ref="A15" r:id="rId5"/>
    <hyperlink ref="A16" r:id="rId6"/>
  </hyperlinks>
  <pageMargins left="0.5" right="0.5" top="0.5" bottom="0.5" header="0.25" footer="0"/>
  <pageSetup paperSize="5" scale="62" orientation="landscape" r:id="rId7"/>
  <headerFooter alignWithMargins="0">
    <oddHeader>&amp;C&amp;"Calibri,Bold"&amp;14&amp;A</oddHeader>
    <oddFooter>&amp;L&amp;Z&amp;F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workbookViewId="0">
      <selection activeCell="D40" sqref="D40"/>
    </sheetView>
  </sheetViews>
  <sheetFormatPr defaultRowHeight="14.25" outlineLevelRow="1" x14ac:dyDescent="0.45"/>
  <cols>
    <col min="1" max="1" width="30.1328125" customWidth="1"/>
    <col min="2" max="3" width="16.1328125" customWidth="1"/>
    <col min="4" max="4" width="19" bestFit="1" customWidth="1"/>
    <col min="5" max="6" width="13.73046875" bestFit="1" customWidth="1"/>
    <col min="7" max="7" width="12.73046875" customWidth="1"/>
    <col min="8" max="8" width="13.73046875" bestFit="1" customWidth="1"/>
    <col min="9" max="16" width="12.73046875" customWidth="1"/>
    <col min="17" max="17" width="16" customWidth="1"/>
    <col min="18" max="18" width="10" customWidth="1"/>
    <col min="19" max="19" width="16.265625" bestFit="1" customWidth="1"/>
  </cols>
  <sheetData>
    <row r="1" spans="1:19" ht="16.149999999999999" thickBot="1" x14ac:dyDescent="0.5">
      <c r="A1" s="23" t="s">
        <v>19</v>
      </c>
      <c r="D1" s="237" t="str">
        <f>'Monthly Receipts Input'!D1</f>
        <v>JULY</v>
      </c>
      <c r="G1" s="24" t="s">
        <v>107</v>
      </c>
      <c r="Q1" s="354" t="s">
        <v>161</v>
      </c>
      <c r="R1" s="354"/>
      <c r="S1" s="413">
        <f>'County One Time Input-GROWTH'!D3</f>
        <v>0</v>
      </c>
    </row>
    <row r="2" spans="1:19" ht="14.65" thickBot="1" x14ac:dyDescent="0.5">
      <c r="R2" s="428">
        <f>'Monthly Receipts Input'!R11</f>
        <v>0.35</v>
      </c>
      <c r="S2" s="418"/>
    </row>
    <row r="3" spans="1:19" s="29" customFormat="1" ht="28.9" thickBot="1" x14ac:dyDescent="0.5">
      <c r="A3" s="231" t="s">
        <v>21</v>
      </c>
      <c r="B3" s="232" t="s">
        <v>42</v>
      </c>
      <c r="C3" s="230" t="s">
        <v>22</v>
      </c>
      <c r="D3" s="236" t="str">
        <f>CONCATENATE("RECEIPTS THROUGH"," ",D1)</f>
        <v>RECEIPTS THROUGH JULY</v>
      </c>
      <c r="E3" s="234" t="s">
        <v>7</v>
      </c>
      <c r="F3" s="234" t="s">
        <v>8</v>
      </c>
      <c r="G3" s="234" t="s">
        <v>9</v>
      </c>
      <c r="H3" s="234" t="s">
        <v>10</v>
      </c>
      <c r="I3" s="234" t="s">
        <v>11</v>
      </c>
      <c r="J3" s="234" t="s">
        <v>12</v>
      </c>
      <c r="K3" s="234" t="s">
        <v>13</v>
      </c>
      <c r="L3" s="234" t="s">
        <v>14</v>
      </c>
      <c r="M3" s="234" t="s">
        <v>15</v>
      </c>
      <c r="N3" s="234" t="s">
        <v>16</v>
      </c>
      <c r="O3" s="234" t="s">
        <v>17</v>
      </c>
      <c r="P3" s="235" t="s">
        <v>18</v>
      </c>
      <c r="R3" s="412" t="s">
        <v>175</v>
      </c>
      <c r="S3" s="412" t="s">
        <v>173</v>
      </c>
    </row>
    <row r="4" spans="1:19" ht="5.25" customHeight="1" thickBot="1" x14ac:dyDescent="0.5">
      <c r="A4" s="115"/>
      <c r="B4" s="116"/>
      <c r="C4" s="124"/>
      <c r="D4" s="122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8"/>
      <c r="R4" s="441"/>
      <c r="S4" s="419"/>
    </row>
    <row r="5" spans="1:19" x14ac:dyDescent="0.45">
      <c r="A5" s="119" t="s">
        <v>85</v>
      </c>
      <c r="B5" s="8">
        <f>'County One Time Input-BASE'!C27</f>
        <v>0.27832042867541995</v>
      </c>
      <c r="C5" s="125">
        <f>'County One Time Input-BASE'!B27</f>
        <v>550340286.53725004</v>
      </c>
      <c r="D5" s="35">
        <f t="shared" ref="D5:D11" si="0">SUM(E5:P5)+S5</f>
        <v>527497097.09999996</v>
      </c>
      <c r="E5" s="217">
        <f>'Monthly Receipts Input'!E14</f>
        <v>42370189.280000001</v>
      </c>
      <c r="F5" s="217">
        <f>'Monthly Receipts Input'!F14</f>
        <v>42431470.859999999</v>
      </c>
      <c r="G5" s="217">
        <f>'Monthly Receipts Input'!G14</f>
        <v>55410959.149999999</v>
      </c>
      <c r="H5" s="217">
        <f>'Monthly Receipts Input'!H14</f>
        <v>42214544.219999999</v>
      </c>
      <c r="I5" s="217">
        <f>'Monthly Receipts Input'!I14</f>
        <v>44451947.920000002</v>
      </c>
      <c r="J5" s="217">
        <f>'Monthly Receipts Input'!J14</f>
        <v>65587627.140000001</v>
      </c>
      <c r="K5" s="217">
        <f>'Monthly Receipts Input'!K14</f>
        <v>41267996.869999997</v>
      </c>
      <c r="L5" s="217">
        <f>'Monthly Receipts Input'!L14</f>
        <v>35329457.460000001</v>
      </c>
      <c r="M5" s="217">
        <f>'Monthly Receipts Input'!M14</f>
        <v>56883087.700000003</v>
      </c>
      <c r="N5" s="217">
        <f>'Monthly Receipts Input'!N14</f>
        <v>41391904.170000002</v>
      </c>
      <c r="O5" s="217">
        <f>'Monthly Receipts Input'!O14</f>
        <v>60157912.329999998</v>
      </c>
      <c r="P5" s="218">
        <f>'Monthly Receipts Input'!P14</f>
        <v>0</v>
      </c>
      <c r="Q5" s="297"/>
      <c r="R5" s="430">
        <f>'Monthly Receipts Input'!R14</f>
        <v>0.1</v>
      </c>
      <c r="S5" s="440">
        <f>'Monthly Receipts Input'!S14</f>
        <v>0</v>
      </c>
    </row>
    <row r="6" spans="1:19" x14ac:dyDescent="0.45">
      <c r="A6" s="119" t="s">
        <v>86</v>
      </c>
      <c r="B6" s="8">
        <f>'County One Time Input-BASE'!C28</f>
        <v>0.62763536854710811</v>
      </c>
      <c r="C6" s="125">
        <f>'County One Time Input-BASE'!B28</f>
        <v>1241062433.724375</v>
      </c>
      <c r="D6" s="36">
        <f t="shared" si="0"/>
        <v>1189550303.7400002</v>
      </c>
      <c r="E6" s="148">
        <f>'Monthly Receipts Input'!E15</f>
        <v>95548339.120000005</v>
      </c>
      <c r="F6" s="148">
        <f>'Monthly Receipts Input'!F15</f>
        <v>95686534.239999995</v>
      </c>
      <c r="G6" s="148">
        <f>'Monthly Receipts Input'!G15</f>
        <v>124956371.62</v>
      </c>
      <c r="H6" s="148">
        <f>'Monthly Receipts Input'!H15</f>
        <v>95197346.439999998</v>
      </c>
      <c r="I6" s="148">
        <f>'Monthly Receipts Input'!I15</f>
        <v>100242879.88</v>
      </c>
      <c r="J6" s="148">
        <f>'Monthly Receipts Input'!J15</f>
        <v>147905613.55000001</v>
      </c>
      <c r="K6" s="148">
        <f>'Monthly Receipts Input'!K15</f>
        <v>93062802.590000004</v>
      </c>
      <c r="L6" s="148">
        <f>'Monthly Receipts Input'!L15</f>
        <v>79670896.939999998</v>
      </c>
      <c r="M6" s="148">
        <f>'Monthly Receipts Input'!M15</f>
        <v>128276145.26000001</v>
      </c>
      <c r="N6" s="148">
        <f>'Monthly Receipts Input'!N15</f>
        <v>93342223.969999999</v>
      </c>
      <c r="O6" s="148">
        <f>'Monthly Receipts Input'!O15</f>
        <v>135661150.13</v>
      </c>
      <c r="P6" s="149">
        <f>'Monthly Receipts Input'!P15</f>
        <v>0</v>
      </c>
      <c r="Q6" s="297"/>
      <c r="R6" s="430">
        <f>'Monthly Receipts Input'!R15</f>
        <v>0.75</v>
      </c>
      <c r="S6" s="440">
        <f>'Monthly Receipts Input'!S15</f>
        <v>0</v>
      </c>
    </row>
    <row r="7" spans="1:19" x14ac:dyDescent="0.45">
      <c r="A7" s="119" t="s">
        <v>87</v>
      </c>
      <c r="B7" s="8">
        <f>'County One Time Input-BASE'!C29</f>
        <v>1.6812379023896633E-2</v>
      </c>
      <c r="C7" s="125">
        <f>'County One Time Input-BASE'!B29</f>
        <v>33244162.253625002</v>
      </c>
      <c r="D7" s="36">
        <f t="shared" si="0"/>
        <v>31865509.809999995</v>
      </c>
      <c r="E7" s="148">
        <f>'Monthly Receipts Input'!E16</f>
        <v>2559535.7599999998</v>
      </c>
      <c r="F7" s="148">
        <f>'Monthly Receipts Input'!F16</f>
        <v>2563237.71</v>
      </c>
      <c r="G7" s="148">
        <f>'Monthly Receipts Input'!G16</f>
        <v>3347314.09</v>
      </c>
      <c r="H7" s="148">
        <f>'Monthly Receipts Input'!H16</f>
        <v>2550133.41</v>
      </c>
      <c r="I7" s="148">
        <f>'Monthly Receipts Input'!I16</f>
        <v>2685292.47</v>
      </c>
      <c r="J7" s="148">
        <f>'Monthly Receipts Input'!J16</f>
        <v>3962075.22</v>
      </c>
      <c r="K7" s="148">
        <f>'Monthly Receipts Input'!K16</f>
        <v>2492953.54</v>
      </c>
      <c r="L7" s="148">
        <f>'Monthly Receipts Input'!L16</f>
        <v>2134213.02</v>
      </c>
      <c r="M7" s="148">
        <f>'Monthly Receipts Input'!M16</f>
        <v>3436243.72</v>
      </c>
      <c r="N7" s="148">
        <f>'Monthly Receipts Input'!N16</f>
        <v>2500438.65</v>
      </c>
      <c r="O7" s="148">
        <f>'Monthly Receipts Input'!O16</f>
        <v>3634072.22</v>
      </c>
      <c r="P7" s="149">
        <f>'Monthly Receipts Input'!P16</f>
        <v>0</v>
      </c>
      <c r="Q7" s="297"/>
      <c r="R7" s="430">
        <f>'Monthly Receipts Input'!R16</f>
        <v>0.05</v>
      </c>
      <c r="S7" s="440">
        <f>'Monthly Receipts Input'!S16</f>
        <v>0</v>
      </c>
    </row>
    <row r="8" spans="1:19" x14ac:dyDescent="0.45">
      <c r="A8" s="717" t="s">
        <v>105</v>
      </c>
      <c r="B8" s="8">
        <f>'County One Time Input-BASE'!C30</f>
        <v>7.7231823753575263E-2</v>
      </c>
      <c r="C8" s="125">
        <f>'County One Time Input-BASE'!B30</f>
        <v>152715286.53724998</v>
      </c>
      <c r="D8" s="36">
        <f t="shared" si="0"/>
        <v>146377032.92000002</v>
      </c>
      <c r="E8" s="216">
        <f>'Monthly Receipts Input'!E17</f>
        <v>11757453.5</v>
      </c>
      <c r="F8" s="216">
        <f>'Monthly Receipts Input'!F17</f>
        <v>11774458.74</v>
      </c>
      <c r="G8" s="216">
        <f>'Monthly Receipts Input'!G17</f>
        <v>15376182.800000001</v>
      </c>
      <c r="H8" s="216">
        <f>'Monthly Receipts Input'!H17</f>
        <v>11714263</v>
      </c>
      <c r="I8" s="216">
        <f>'Monthly Receipts Input'!I17</f>
        <v>12335128.060000001</v>
      </c>
      <c r="J8" s="216">
        <f>'Monthly Receipts Input'!J17</f>
        <v>18200142.350000001</v>
      </c>
      <c r="K8" s="216">
        <f>'Monthly Receipts Input'!K17</f>
        <v>11451602.24</v>
      </c>
      <c r="L8" s="216">
        <f>'Monthly Receipts Input'!L17</f>
        <v>9803695.9600000009</v>
      </c>
      <c r="M8" s="216">
        <f>'Monthly Receipts Input'!M17</f>
        <v>15784688.949999999</v>
      </c>
      <c r="N8" s="216">
        <f>'Monthly Receipts Input'!N17</f>
        <v>11485985.710000001</v>
      </c>
      <c r="O8" s="216">
        <f>'Monthly Receipts Input'!O17</f>
        <v>16693431.609999999</v>
      </c>
      <c r="P8" s="219">
        <f>'Monthly Receipts Input'!P17</f>
        <v>0</v>
      </c>
      <c r="Q8" s="297"/>
      <c r="R8" s="430">
        <f>'Monthly Receipts Input'!R17</f>
        <v>0.1</v>
      </c>
      <c r="S8" s="440">
        <f>'Monthly Receipts Input'!S17</f>
        <v>0</v>
      </c>
    </row>
    <row r="9" spans="1:19" outlineLevel="1" x14ac:dyDescent="0.45">
      <c r="A9" s="401" t="s">
        <v>154</v>
      </c>
      <c r="B9" s="402">
        <f>'County One Time Input-BASE'!C31</f>
        <v>0.94481000000000004</v>
      </c>
      <c r="C9" s="437">
        <f>'County One Time Input-BASE'!B31</f>
        <v>144286929.87325916</v>
      </c>
      <c r="D9" s="408">
        <f t="shared" si="0"/>
        <v>138298484.47314522</v>
      </c>
      <c r="E9" s="438">
        <f>'Monthly Receipts Input'!E18</f>
        <v>11108559.641335001</v>
      </c>
      <c r="F9" s="438">
        <f>'Monthly Receipts Input'!F18</f>
        <v>11124626.3621394</v>
      </c>
      <c r="G9" s="438">
        <f>'Monthly Receipts Input'!G18</f>
        <v>14527571.271268001</v>
      </c>
      <c r="H9" s="438">
        <f>'Monthly Receipts Input'!H18</f>
        <v>11067752.825030001</v>
      </c>
      <c r="I9" s="438">
        <f>'Monthly Receipts Input'!I18</f>
        <v>11654352.342368601</v>
      </c>
      <c r="J9" s="438">
        <f>'Monthly Receipts Input'!J18</f>
        <v>17195676.493703503</v>
      </c>
      <c r="K9" s="438">
        <f>'Monthly Receipts Input'!K18</f>
        <v>10819588.3123744</v>
      </c>
      <c r="L9" s="438">
        <f>'Monthly Receipts Input'!L18</f>
        <v>9262629.9799676016</v>
      </c>
      <c r="M9" s="438">
        <f>'Monthly Receipts Input'!M18</f>
        <v>14913531.9668495</v>
      </c>
      <c r="N9" s="438">
        <f>'Monthly Receipts Input'!N18</f>
        <v>10852074.158665102</v>
      </c>
      <c r="O9" s="438">
        <f>'Monthly Receipts Input'!O18</f>
        <v>15772121.1194441</v>
      </c>
      <c r="P9" s="439">
        <f>'Monthly Receipts Input'!P18</f>
        <v>0</v>
      </c>
      <c r="Q9" s="297"/>
      <c r="R9" s="435">
        <f>'County One Time Input-GROWTH'!C27</f>
        <v>0.94481000000000004</v>
      </c>
      <c r="S9" s="407">
        <f>S8*$R9</f>
        <v>0</v>
      </c>
    </row>
    <row r="10" spans="1:19" ht="14.65" outlineLevel="1" thickBot="1" x14ac:dyDescent="0.5">
      <c r="A10" s="401" t="s">
        <v>155</v>
      </c>
      <c r="B10" s="402">
        <f>'County One Time Input-BASE'!C32</f>
        <v>5.5190000000000003E-2</v>
      </c>
      <c r="C10" s="437">
        <f>'County One Time Input-BASE'!B32</f>
        <v>8428356.6639908273</v>
      </c>
      <c r="D10" s="409">
        <f t="shared" si="0"/>
        <v>8078548.4468548009</v>
      </c>
      <c r="E10" s="438">
        <f>'Monthly Receipts Input'!E19</f>
        <v>648893.85866500007</v>
      </c>
      <c r="F10" s="438">
        <f>'Monthly Receipts Input'!F19</f>
        <v>649832.37786060001</v>
      </c>
      <c r="G10" s="438">
        <f>'Monthly Receipts Input'!G19</f>
        <v>848611.52873200004</v>
      </c>
      <c r="H10" s="438">
        <f>'Monthly Receipts Input'!H19</f>
        <v>646510.17497000005</v>
      </c>
      <c r="I10" s="438">
        <f>'Monthly Receipts Input'!I19</f>
        <v>680775.7176314001</v>
      </c>
      <c r="J10" s="438">
        <f>'Monthly Receipts Input'!J19</f>
        <v>1004465.8562965002</v>
      </c>
      <c r="K10" s="438">
        <f>'Monthly Receipts Input'!K19</f>
        <v>632013.92762560002</v>
      </c>
      <c r="L10" s="438">
        <f>'Monthly Receipts Input'!L19</f>
        <v>541065.98003240011</v>
      </c>
      <c r="M10" s="438">
        <f>'Monthly Receipts Input'!M19</f>
        <v>871156.98315049999</v>
      </c>
      <c r="N10" s="438">
        <f>'Monthly Receipts Input'!N19</f>
        <v>633911.55133490008</v>
      </c>
      <c r="O10" s="438">
        <f>'Monthly Receipts Input'!O19</f>
        <v>921310.49055590003</v>
      </c>
      <c r="P10" s="439">
        <f>'Monthly Receipts Input'!P19</f>
        <v>0</v>
      </c>
      <c r="Q10" s="297"/>
      <c r="R10" s="436">
        <f>'County One Time Input-GROWTH'!C28</f>
        <v>5.5190000000000003E-2</v>
      </c>
      <c r="S10" s="420">
        <f>S8*$R10</f>
        <v>0</v>
      </c>
    </row>
    <row r="11" spans="1:19" ht="14.65" thickBot="1" x14ac:dyDescent="0.5">
      <c r="A11" s="50" t="s">
        <v>91</v>
      </c>
      <c r="B11" s="51">
        <f>SUM(B5:B8)</f>
        <v>1</v>
      </c>
      <c r="C11" s="126">
        <f>SUM(C5:C8)</f>
        <v>1977362169.0525</v>
      </c>
      <c r="D11" s="123">
        <f t="shared" si="0"/>
        <v>1895289943.5700002</v>
      </c>
      <c r="E11" s="53">
        <f t="shared" ref="E11:P11" si="1">SUM(E5:E8)</f>
        <v>152235517.66</v>
      </c>
      <c r="F11" s="53">
        <f t="shared" si="1"/>
        <v>152455701.55000001</v>
      </c>
      <c r="G11" s="53">
        <f t="shared" si="1"/>
        <v>199090827.66000003</v>
      </c>
      <c r="H11" s="53">
        <f t="shared" si="1"/>
        <v>151676287.06999999</v>
      </c>
      <c r="I11" s="53">
        <f t="shared" si="1"/>
        <v>159715248.33000001</v>
      </c>
      <c r="J11" s="53">
        <f t="shared" si="1"/>
        <v>235655458.25999999</v>
      </c>
      <c r="K11" s="53">
        <f t="shared" si="1"/>
        <v>148275355.24000001</v>
      </c>
      <c r="L11" s="53">
        <f t="shared" si="1"/>
        <v>126938263.38</v>
      </c>
      <c r="M11" s="53">
        <f t="shared" si="1"/>
        <v>204380165.63</v>
      </c>
      <c r="N11" s="53">
        <f t="shared" si="1"/>
        <v>148720552.5</v>
      </c>
      <c r="O11" s="53">
        <f t="shared" si="1"/>
        <v>216146566.28999996</v>
      </c>
      <c r="P11" s="54">
        <f t="shared" si="1"/>
        <v>0</v>
      </c>
      <c r="R11" s="433"/>
      <c r="S11" s="432">
        <f>SUM(S5:S8)</f>
        <v>0</v>
      </c>
    </row>
    <row r="13" spans="1:19" x14ac:dyDescent="0.45">
      <c r="G13" s="24" t="str">
        <f>CONCATENATE('County One Time Input-BASE'!C2," County Receipts - LAW ENFORCEMENT SERVICES ACCOUNT")</f>
        <v>San Mateo County Receipts - LAW ENFORCEMENT SERVICES ACCOUNT</v>
      </c>
    </row>
    <row r="14" spans="1:19" ht="14.65" thickBot="1" x14ac:dyDescent="0.5">
      <c r="S14" s="60" t="s">
        <v>261</v>
      </c>
    </row>
    <row r="15" spans="1:19" s="29" customFormat="1" ht="28.9" thickBot="1" x14ac:dyDescent="0.5">
      <c r="A15" s="25" t="s">
        <v>21</v>
      </c>
      <c r="B15" s="26" t="str">
        <f>CONCATENATE('County One Time Input-BASE'!C2," County % Distribution")</f>
        <v>San Mateo County % Distribution</v>
      </c>
      <c r="C15" s="26" t="str">
        <f>CONCATENATE('County One Time Input-BASE'!C2," County Portion")</f>
        <v>San Mateo County Portion</v>
      </c>
      <c r="D15" s="58" t="str">
        <f>CONCATENATE("RECEIPTS THROUGH"," ",D1)</f>
        <v>RECEIPTS THROUGH JULY</v>
      </c>
      <c r="E15" s="27" t="s">
        <v>7</v>
      </c>
      <c r="F15" s="27" t="s">
        <v>8</v>
      </c>
      <c r="G15" s="27" t="s">
        <v>9</v>
      </c>
      <c r="H15" s="27" t="s">
        <v>10</v>
      </c>
      <c r="I15" s="27" t="s">
        <v>11</v>
      </c>
      <c r="J15" s="27" t="s">
        <v>12</v>
      </c>
      <c r="K15" s="27" t="s">
        <v>13</v>
      </c>
      <c r="L15" s="27" t="s">
        <v>14</v>
      </c>
      <c r="M15" s="27" t="s">
        <v>15</v>
      </c>
      <c r="N15" s="27" t="s">
        <v>16</v>
      </c>
      <c r="O15" s="27" t="s">
        <v>17</v>
      </c>
      <c r="P15" s="28" t="s">
        <v>18</v>
      </c>
      <c r="R15" s="412" t="s">
        <v>175</v>
      </c>
      <c r="S15" s="412" t="s">
        <v>173</v>
      </c>
    </row>
    <row r="16" spans="1:19" ht="5.25" customHeight="1" thickBot="1" x14ac:dyDescent="0.5">
      <c r="A16" s="220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2"/>
      <c r="R16" s="441"/>
      <c r="S16" s="419"/>
    </row>
    <row r="17" spans="1:19" x14ac:dyDescent="0.45">
      <c r="A17" s="119" t="s">
        <v>85</v>
      </c>
      <c r="B17" s="8">
        <f>'County One Time Input-BASE'!F27</f>
        <v>2.0628000000000001E-2</v>
      </c>
      <c r="C17" s="125">
        <f>'County One Time Input-BASE'!G27</f>
        <v>11352419.430690395</v>
      </c>
      <c r="D17" s="35">
        <f t="shared" ref="D17:D23" si="2">SUM(E17:P17)+S17</f>
        <v>10881210.118978798</v>
      </c>
      <c r="E17" s="217">
        <f t="shared" ref="E17:P17" si="3">E5*$B17</f>
        <v>874012.26446784008</v>
      </c>
      <c r="F17" s="217">
        <f t="shared" si="3"/>
        <v>875276.38090007997</v>
      </c>
      <c r="G17" s="217">
        <f t="shared" si="3"/>
        <v>1143017.2653462</v>
      </c>
      <c r="H17" s="217">
        <f t="shared" si="3"/>
        <v>870801.61817015999</v>
      </c>
      <c r="I17" s="217">
        <f t="shared" si="3"/>
        <v>916954.78169376007</v>
      </c>
      <c r="J17" s="217">
        <f t="shared" si="3"/>
        <v>1352941.5726439201</v>
      </c>
      <c r="K17" s="217">
        <f t="shared" si="3"/>
        <v>851276.23943435994</v>
      </c>
      <c r="L17" s="217">
        <f t="shared" si="3"/>
        <v>728776.04848488001</v>
      </c>
      <c r="M17" s="217">
        <f t="shared" si="3"/>
        <v>1173384.3330756</v>
      </c>
      <c r="N17" s="217">
        <f t="shared" si="3"/>
        <v>853832.19921876001</v>
      </c>
      <c r="O17" s="217">
        <f t="shared" si="3"/>
        <v>1240937.41554324</v>
      </c>
      <c r="P17" s="218">
        <f t="shared" si="3"/>
        <v>0</v>
      </c>
      <c r="R17" s="442">
        <f>'County One Time Input-GROWTH'!F23</f>
        <v>2.0628000182087165E-2</v>
      </c>
      <c r="S17" s="443">
        <f>S5*B17</f>
        <v>0</v>
      </c>
    </row>
    <row r="18" spans="1:19" x14ac:dyDescent="0.45">
      <c r="A18" s="119" t="s">
        <v>86</v>
      </c>
      <c r="B18" s="8">
        <f>'County One Time Input-BASE'!F28</f>
        <v>1.3149410702188823E-2</v>
      </c>
      <c r="C18" s="125">
        <f>'County One Time Input-BASE'!G28</f>
        <v>16319239.648099804</v>
      </c>
      <c r="D18" s="36">
        <f t="shared" si="2"/>
        <v>15641885.494790722</v>
      </c>
      <c r="E18" s="148">
        <f t="shared" ref="E18:P18" si="4">E6*$B18</f>
        <v>1256404.3530008951</v>
      </c>
      <c r="F18" s="148">
        <f t="shared" si="4"/>
        <v>1258221.5373908132</v>
      </c>
      <c r="G18" s="148">
        <f t="shared" si="4"/>
        <v>1643102.6502867118</v>
      </c>
      <c r="H18" s="148">
        <f t="shared" si="4"/>
        <v>1251789.006098113</v>
      </c>
      <c r="I18" s="148">
        <f t="shared" si="4"/>
        <v>1318134.7975123005</v>
      </c>
      <c r="J18" s="148">
        <f t="shared" si="4"/>
        <v>1944871.6577281742</v>
      </c>
      <c r="K18" s="148">
        <f t="shared" si="4"/>
        <v>1223721.0123526317</v>
      </c>
      <c r="L18" s="148">
        <f t="shared" si="4"/>
        <v>1047625.3448758187</v>
      </c>
      <c r="M18" s="148">
        <f t="shared" si="4"/>
        <v>1686755.7173173721</v>
      </c>
      <c r="N18" s="148">
        <f t="shared" si="4"/>
        <v>1227395.238837224</v>
      </c>
      <c r="O18" s="148">
        <f t="shared" si="4"/>
        <v>1783864.1793906665</v>
      </c>
      <c r="P18" s="149">
        <f t="shared" si="4"/>
        <v>0</v>
      </c>
      <c r="R18" s="430">
        <f>'County One Time Input-GROWTH'!F24</f>
        <v>1.2296586650428433E-2</v>
      </c>
      <c r="S18" s="440">
        <f>S6*B18</f>
        <v>0</v>
      </c>
    </row>
    <row r="19" spans="1:19" x14ac:dyDescent="0.45">
      <c r="A19" s="119" t="s">
        <v>87</v>
      </c>
      <c r="B19" s="8">
        <f>'County One Time Input-BASE'!F29</f>
        <v>1.24450137E-2</v>
      </c>
      <c r="C19" s="125">
        <f>'County One Time Input-BASE'!G29</f>
        <v>413724.054691386</v>
      </c>
      <c r="D19" s="36">
        <f t="shared" si="2"/>
        <v>396566.70614293445</v>
      </c>
      <c r="E19" s="148">
        <f t="shared" ref="E19:P19" si="5">E7*$B19</f>
        <v>31853.457598839908</v>
      </c>
      <c r="F19" s="148">
        <f t="shared" si="5"/>
        <v>31899.528417306628</v>
      </c>
      <c r="G19" s="148">
        <f t="shared" si="5"/>
        <v>41657.369708253034</v>
      </c>
      <c r="H19" s="148">
        <f t="shared" si="5"/>
        <v>31736.445224277719</v>
      </c>
      <c r="I19" s="148">
        <f t="shared" si="5"/>
        <v>33418.50157765684</v>
      </c>
      <c r="J19" s="148">
        <f t="shared" si="5"/>
        <v>49308.080393330514</v>
      </c>
      <c r="K19" s="148">
        <f t="shared" si="5"/>
        <v>31024.8409587635</v>
      </c>
      <c r="L19" s="148">
        <f t="shared" si="5"/>
        <v>26560.310272618375</v>
      </c>
      <c r="M19" s="148">
        <f t="shared" si="5"/>
        <v>42764.100171938968</v>
      </c>
      <c r="N19" s="148">
        <f t="shared" si="5"/>
        <v>31117.993255259506</v>
      </c>
      <c r="O19" s="148">
        <f t="shared" si="5"/>
        <v>45226.078564689415</v>
      </c>
      <c r="P19" s="149">
        <f t="shared" si="5"/>
        <v>0</v>
      </c>
      <c r="R19" s="430">
        <f>'County One Time Input-GROWTH'!F25</f>
        <v>1.2445013111232743E-2</v>
      </c>
      <c r="S19" s="440">
        <f>S7*B19</f>
        <v>0</v>
      </c>
    </row>
    <row r="20" spans="1:19" x14ac:dyDescent="0.45">
      <c r="A20" s="321" t="s">
        <v>105</v>
      </c>
      <c r="B20" s="8">
        <f>'County One Time Input-BASE'!F30</f>
        <v>1.8040459862678979E-2</v>
      </c>
      <c r="C20" s="125">
        <f>'County One Time Input-BASE'!G30</f>
        <v>2755053.9971927777</v>
      </c>
      <c r="D20" s="36">
        <f t="shared" si="2"/>
        <v>2640708.9872113001</v>
      </c>
      <c r="E20" s="216">
        <f t="shared" ref="E20:P20" si="6">E8*$B20</f>
        <v>212109.86795406448</v>
      </c>
      <c r="F20" s="216">
        <f t="shared" si="6"/>
        <v>212416.65030373971</v>
      </c>
      <c r="G20" s="216">
        <f t="shared" si="6"/>
        <v>277393.40864461486</v>
      </c>
      <c r="H20" s="216">
        <f t="shared" si="6"/>
        <v>211330.69147236543</v>
      </c>
      <c r="I20" s="216">
        <f t="shared" si="6"/>
        <v>222531.38266743522</v>
      </c>
      <c r="J20" s="216">
        <f t="shared" si="6"/>
        <v>328338.93756021891</v>
      </c>
      <c r="K20" s="216">
        <f t="shared" si="6"/>
        <v>206592.17057408468</v>
      </c>
      <c r="L20" s="216">
        <f t="shared" si="6"/>
        <v>176863.18347228807</v>
      </c>
      <c r="M20" s="216">
        <f t="shared" si="6"/>
        <v>284763.04744734737</v>
      </c>
      <c r="N20" s="216">
        <f t="shared" si="6"/>
        <v>207212.46418455933</v>
      </c>
      <c r="O20" s="216">
        <f t="shared" si="6"/>
        <v>301157.1829305815</v>
      </c>
      <c r="P20" s="219">
        <f t="shared" si="6"/>
        <v>0</v>
      </c>
      <c r="R20" s="430">
        <f>'County One Time Input-GROWTH'!F26</f>
        <v>1.5195666934010026E-2</v>
      </c>
      <c r="S20" s="440">
        <f>S8*B20</f>
        <v>0</v>
      </c>
    </row>
    <row r="21" spans="1:19" outlineLevel="1" x14ac:dyDescent="0.45">
      <c r="A21" s="401" t="s">
        <v>154</v>
      </c>
      <c r="B21" s="8">
        <f>'County One Time Input-BASE'!F31</f>
        <v>1.9094272777255721E-2</v>
      </c>
      <c r="C21" s="125">
        <f>'County One Time Input-BASE'!G31</f>
        <v>2755053.9971927777</v>
      </c>
      <c r="D21" s="408">
        <f t="shared" si="2"/>
        <v>2640708.9872112991</v>
      </c>
      <c r="E21" s="438">
        <f>E$8*$B9*$B21</f>
        <v>212109.86795406448</v>
      </c>
      <c r="F21" s="438">
        <f t="shared" ref="F21:P22" si="7">F$8*$B9*$B21</f>
        <v>212416.65030373968</v>
      </c>
      <c r="G21" s="438">
        <f t="shared" si="7"/>
        <v>277393.40864461486</v>
      </c>
      <c r="H21" s="438">
        <f t="shared" si="7"/>
        <v>211330.69147236543</v>
      </c>
      <c r="I21" s="438">
        <f t="shared" si="7"/>
        <v>222531.38266743522</v>
      </c>
      <c r="J21" s="438">
        <f t="shared" si="7"/>
        <v>328338.93756021891</v>
      </c>
      <c r="K21" s="438">
        <f t="shared" si="7"/>
        <v>206592.17057408468</v>
      </c>
      <c r="L21" s="438">
        <f t="shared" si="7"/>
        <v>176863.18347228807</v>
      </c>
      <c r="M21" s="438">
        <f t="shared" si="7"/>
        <v>284763.04744734737</v>
      </c>
      <c r="N21" s="438">
        <f t="shared" si="7"/>
        <v>207212.46418455933</v>
      </c>
      <c r="O21" s="438">
        <f t="shared" si="7"/>
        <v>301157.1829305815</v>
      </c>
      <c r="P21" s="439">
        <f t="shared" si="7"/>
        <v>0</v>
      </c>
      <c r="R21" s="430">
        <f>'County One Time Input-GROWTH'!F27</f>
        <v>1.5135176057473242E-2</v>
      </c>
      <c r="S21" s="439">
        <f>S$8*$B9*$R21</f>
        <v>0</v>
      </c>
    </row>
    <row r="22" spans="1:19" ht="14.65" outlineLevel="1" thickBot="1" x14ac:dyDescent="0.5">
      <c r="A22" s="401" t="s">
        <v>155</v>
      </c>
      <c r="B22" s="8">
        <f>'County One Time Input-BASE'!F32</f>
        <v>0</v>
      </c>
      <c r="C22" s="125">
        <f>'County One Time Input-BASE'!G32</f>
        <v>0</v>
      </c>
      <c r="D22" s="409">
        <f t="shared" si="2"/>
        <v>0</v>
      </c>
      <c r="E22" s="438">
        <f>E$8*$B10*$B22</f>
        <v>0</v>
      </c>
      <c r="F22" s="438">
        <f t="shared" si="7"/>
        <v>0</v>
      </c>
      <c r="G22" s="438">
        <f t="shared" si="7"/>
        <v>0</v>
      </c>
      <c r="H22" s="438">
        <f t="shared" si="7"/>
        <v>0</v>
      </c>
      <c r="I22" s="438">
        <f t="shared" si="7"/>
        <v>0</v>
      </c>
      <c r="J22" s="438">
        <f t="shared" si="7"/>
        <v>0</v>
      </c>
      <c r="K22" s="438">
        <f t="shared" si="7"/>
        <v>0</v>
      </c>
      <c r="L22" s="438">
        <f t="shared" si="7"/>
        <v>0</v>
      </c>
      <c r="M22" s="438">
        <f t="shared" si="7"/>
        <v>0</v>
      </c>
      <c r="N22" s="438">
        <f t="shared" si="7"/>
        <v>0</v>
      </c>
      <c r="O22" s="438">
        <f t="shared" si="7"/>
        <v>0</v>
      </c>
      <c r="P22" s="439">
        <f t="shared" si="7"/>
        <v>0</v>
      </c>
      <c r="R22" s="431">
        <f>'County One Time Input-GROWTH'!F28</f>
        <v>1.6231223829475099E-2</v>
      </c>
      <c r="S22" s="444">
        <f>S$8*$B10*$R22</f>
        <v>0</v>
      </c>
    </row>
    <row r="23" spans="1:19" ht="14.65" thickBot="1" x14ac:dyDescent="0.5">
      <c r="A23" s="50" t="s">
        <v>108</v>
      </c>
      <c r="B23" s="51"/>
      <c r="C23" s="126">
        <f>SUM(C17:C20)</f>
        <v>30840437.130674362</v>
      </c>
      <c r="D23" s="123">
        <f t="shared" si="2"/>
        <v>29560371.307123758</v>
      </c>
      <c r="E23" s="53">
        <f>SUM(E17:E20)</f>
        <v>2374379.9430216397</v>
      </c>
      <c r="F23" s="53">
        <f t="shared" ref="F23:P23" si="8">SUM(F17:F20)</f>
        <v>2377814.0970119392</v>
      </c>
      <c r="G23" s="53">
        <f t="shared" si="8"/>
        <v>3105170.6939857798</v>
      </c>
      <c r="H23" s="53">
        <f t="shared" si="8"/>
        <v>2365657.7609649161</v>
      </c>
      <c r="I23" s="53">
        <f t="shared" si="8"/>
        <v>2491039.4634511527</v>
      </c>
      <c r="J23" s="53">
        <f t="shared" si="8"/>
        <v>3675460.2483256441</v>
      </c>
      <c r="K23" s="53">
        <f t="shared" si="8"/>
        <v>2312614.2633198397</v>
      </c>
      <c r="L23" s="53">
        <f t="shared" si="8"/>
        <v>1979824.8871056051</v>
      </c>
      <c r="M23" s="53">
        <f t="shared" si="8"/>
        <v>3187667.1980122589</v>
      </c>
      <c r="N23" s="53">
        <f t="shared" si="8"/>
        <v>2319557.8954958031</v>
      </c>
      <c r="O23" s="53">
        <f t="shared" si="8"/>
        <v>3371184.8564291773</v>
      </c>
      <c r="P23" s="54">
        <f t="shared" si="8"/>
        <v>0</v>
      </c>
      <c r="R23" s="433"/>
      <c r="S23" s="432">
        <f>SUM(S17:S20)</f>
        <v>0</v>
      </c>
    </row>
    <row r="33" spans="7:7" x14ac:dyDescent="0.45">
      <c r="G33" s="298"/>
    </row>
  </sheetData>
  <phoneticPr fontId="18" type="noConversion"/>
  <dataValidations disablePrompts="1" count="1">
    <dataValidation allowBlank="1" showInputMessage="1" showErrorMessage="1" prompt="Please spell out the month, do not abbreviate" sqref="D1"/>
  </dataValidations>
  <hyperlinks>
    <hyperlink ref="A5" r:id="rId1"/>
    <hyperlink ref="A6" r:id="rId2"/>
    <hyperlink ref="A7" r:id="rId3"/>
    <hyperlink ref="A8" r:id="rId4"/>
    <hyperlink ref="A17" r:id="rId5"/>
    <hyperlink ref="A18" r:id="rId6"/>
    <hyperlink ref="A19" r:id="rId7"/>
    <hyperlink ref="A20" r:id="rId8"/>
  </hyperlinks>
  <pageMargins left="0.75" right="0.75" top="1" bottom="1" header="0.25" footer="0.5"/>
  <pageSetup paperSize="5" scale="57" orientation="landscape" r:id="rId9"/>
  <headerFooter alignWithMargins="0">
    <oddHeader>&amp;C&amp;"Calibri,Bold"&amp;14&amp;A</oddHeader>
    <oddFooter>&amp;L&amp;Z&amp;F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L47"/>
  <sheetViews>
    <sheetView workbookViewId="0">
      <selection activeCell="M26" sqref="M26"/>
    </sheetView>
  </sheetViews>
  <sheetFormatPr defaultColWidth="9.1328125" defaultRowHeight="14.25" x14ac:dyDescent="0.45"/>
  <cols>
    <col min="1" max="1" width="27.59765625" style="2" customWidth="1"/>
    <col min="2" max="2" width="14.73046875" style="2" bestFit="1" customWidth="1"/>
    <col min="3" max="3" width="15" style="2" customWidth="1"/>
    <col min="4" max="4" width="17.3984375" style="2" customWidth="1"/>
    <col min="5" max="5" width="15.3984375" style="2" customWidth="1"/>
    <col min="6" max="6" width="13.265625" style="2" bestFit="1" customWidth="1"/>
    <col min="7" max="7" width="13.265625" style="2" customWidth="1"/>
    <col min="8" max="8" width="7" style="2" customWidth="1"/>
    <col min="9" max="9" width="16.3984375" style="2" customWidth="1"/>
    <col min="10" max="10" width="13.59765625" style="2" customWidth="1"/>
    <col min="11" max="11" width="15.86328125" style="2" customWidth="1"/>
    <col min="12" max="12" width="11.59765625" style="2" bestFit="1" customWidth="1"/>
    <col min="13" max="16384" width="9.1328125" style="2"/>
  </cols>
  <sheetData>
    <row r="1" spans="1:12" ht="15.75" customHeight="1" x14ac:dyDescent="0.45">
      <c r="A1" s="738" t="s">
        <v>90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</row>
    <row r="2" spans="1:12" ht="16.149999999999999" thickBot="1" x14ac:dyDescent="0.5">
      <c r="A2" s="1"/>
      <c r="B2" s="5"/>
      <c r="C2" s="5"/>
      <c r="D2" s="5" t="s">
        <v>104</v>
      </c>
      <c r="E2" s="5"/>
    </row>
    <row r="3" spans="1:12" ht="16.149999999999999" thickBot="1" x14ac:dyDescent="0.5">
      <c r="A3" s="1"/>
      <c r="B3" s="1"/>
      <c r="C3" s="3" t="s">
        <v>0</v>
      </c>
      <c r="D3" s="4" t="str">
        <f>'Monthly Receipts Input'!D1</f>
        <v>JULY</v>
      </c>
      <c r="E3" s="1"/>
    </row>
    <row r="4" spans="1:12" ht="15.75" x14ac:dyDescent="0.45">
      <c r="A4" s="1"/>
      <c r="C4" s="1"/>
      <c r="D4" s="1"/>
      <c r="E4" s="1"/>
    </row>
    <row r="5" spans="1:12" ht="15.75" customHeight="1" x14ac:dyDescent="0.45">
      <c r="A5" s="172"/>
      <c r="B5" s="3"/>
      <c r="C5" s="172"/>
      <c r="D5" s="3" t="str">
        <f>'County One Time Input-BASE'!B7</f>
        <v>SUPPORT SERVICES ACCOUNT</v>
      </c>
      <c r="E5" s="294">
        <f>'County One Time Input-BASE'!C7</f>
        <v>0.64494122867705139</v>
      </c>
      <c r="F5" s="172"/>
      <c r="I5" s="142"/>
    </row>
    <row r="6" spans="1:12" ht="16.149999999999999" thickBot="1" x14ac:dyDescent="0.5">
      <c r="B6" s="5"/>
      <c r="I6" s="142"/>
    </row>
    <row r="7" spans="1:12" ht="57.4" thickBot="1" x14ac:dyDescent="0.5">
      <c r="A7" s="6" t="s">
        <v>1</v>
      </c>
      <c r="B7" s="156" t="s">
        <v>2</v>
      </c>
      <c r="C7" s="157" t="s">
        <v>96</v>
      </c>
      <c r="D7" s="157" t="str">
        <f>CONCATENATE("State Receipts up to:","  ",D3)</f>
        <v>State Receipts up to:  JULY</v>
      </c>
      <c r="E7" s="157" t="s">
        <v>4</v>
      </c>
      <c r="F7" s="158" t="s">
        <v>5</v>
      </c>
      <c r="G7" s="133" t="s">
        <v>93</v>
      </c>
      <c r="I7" s="17"/>
      <c r="J7" s="17"/>
      <c r="K7" s="17"/>
    </row>
    <row r="8" spans="1:12" ht="6.75" customHeight="1" thickBot="1" x14ac:dyDescent="0.5">
      <c r="A8" s="155"/>
      <c r="B8" s="160"/>
      <c r="C8" s="161"/>
      <c r="D8" s="161"/>
      <c r="E8" s="161"/>
      <c r="F8" s="162"/>
      <c r="G8" s="141"/>
      <c r="I8" s="169"/>
      <c r="J8" s="169"/>
      <c r="K8" s="169"/>
    </row>
    <row r="9" spans="1:12" x14ac:dyDescent="0.45">
      <c r="A9" t="str">
        <f>'County One Time Input-BASE'!A11</f>
        <v>PROTECTIVE SERVICES</v>
      </c>
      <c r="B9" s="159">
        <f>'County One Time Input-BASE'!B11</f>
        <v>2258027908.91605</v>
      </c>
      <c r="C9" s="8">
        <f>'County One Time Input-BASE'!C11</f>
        <v>0.62867065617841666</v>
      </c>
      <c r="D9" s="9">
        <f>'Monthly Receipts Input'!D5</f>
        <v>2164305417.54</v>
      </c>
      <c r="E9" s="10">
        <f>D43*G9</f>
        <v>2355213091.3065305</v>
      </c>
      <c r="F9" s="11">
        <f>+E9-B9</f>
        <v>97185182.390480518</v>
      </c>
      <c r="G9" s="290">
        <f>'County One Time Input-BASE'!D11</f>
        <v>0.40545562542891617</v>
      </c>
      <c r="I9" s="551"/>
      <c r="J9" s="552"/>
      <c r="K9" s="170"/>
      <c r="L9" s="317"/>
    </row>
    <row r="10" spans="1:12" x14ac:dyDescent="0.45">
      <c r="A10" t="str">
        <f>'County One Time Input-BASE'!A12</f>
        <v>BEHAVIORAL HEALTH</v>
      </c>
      <c r="B10" s="159">
        <f>'County One Time Input-BASE'!B12</f>
        <v>1328618217.6800001</v>
      </c>
      <c r="C10" s="8">
        <f>'County One Time Input-BASE'!C12</f>
        <v>0.3699083095569205</v>
      </c>
      <c r="D10" s="9">
        <f>'Monthly Receipts Input'!D6</f>
        <v>1273683730.2199998</v>
      </c>
      <c r="E10" s="12">
        <f>SUM((D$43*(G10+G11)-E11))</f>
        <v>1386021421.8085482</v>
      </c>
      <c r="F10" s="13">
        <f>+E10-B10</f>
        <v>57403204.128548145</v>
      </c>
      <c r="G10" s="291">
        <f>'County One Time Input-BASE'!D12</f>
        <v>0.23856911966349137</v>
      </c>
      <c r="I10" s="551"/>
      <c r="J10" s="552"/>
      <c r="K10" s="170"/>
      <c r="L10" s="317"/>
    </row>
    <row r="11" spans="1:12" ht="14.65" thickBot="1" x14ac:dyDescent="0.5">
      <c r="A11" t="str">
        <f>'County One Time Input-BASE'!A13</f>
        <v>WCRTS (FIXED AMT)</v>
      </c>
      <c r="B11" s="159">
        <f>'County One Time Input-BASE'!B13</f>
        <v>5104000</v>
      </c>
      <c r="C11" s="8">
        <f>'County One Time Input-BASE'!C13</f>
        <v>1.4210342646628175E-3</v>
      </c>
      <c r="D11" s="45">
        <f>'Monthly Receipts Input'!D7</f>
        <v>4678666.63</v>
      </c>
      <c r="E11" s="46">
        <f>B11</f>
        <v>5104000</v>
      </c>
      <c r="F11" s="47">
        <f>+E11-B11</f>
        <v>0</v>
      </c>
      <c r="G11" s="292">
        <f>'County One Time Input-BASE'!D13</f>
        <v>9.1648358464382776E-4</v>
      </c>
      <c r="I11" s="551"/>
      <c r="J11" s="552"/>
      <c r="K11" s="170"/>
      <c r="L11" s="317"/>
    </row>
    <row r="12" spans="1:12" ht="14.65" thickBot="1" x14ac:dyDescent="0.5">
      <c r="A12" s="48" t="s">
        <v>41</v>
      </c>
      <c r="B12" s="197">
        <f t="shared" ref="B12:G12" si="0">SUM(B9:B11)</f>
        <v>3591750126.5960503</v>
      </c>
      <c r="C12" s="299">
        <f t="shared" si="0"/>
        <v>1</v>
      </c>
      <c r="D12" s="300">
        <f t="shared" si="0"/>
        <v>3442667814.3899999</v>
      </c>
      <c r="E12" s="301">
        <f t="shared" si="0"/>
        <v>3746338513.1150789</v>
      </c>
      <c r="F12" s="302">
        <f t="shared" si="0"/>
        <v>154588386.51902866</v>
      </c>
      <c r="G12" s="150">
        <f t="shared" si="0"/>
        <v>0.64494122867705128</v>
      </c>
      <c r="I12" s="553"/>
      <c r="J12" s="554"/>
      <c r="K12" s="171"/>
    </row>
    <row r="13" spans="1:12" x14ac:dyDescent="0.45">
      <c r="I13" s="169"/>
      <c r="J13" s="169"/>
      <c r="K13" s="169"/>
    </row>
    <row r="14" spans="1:12" x14ac:dyDescent="0.45">
      <c r="I14" s="169"/>
      <c r="J14" s="169"/>
      <c r="K14" s="169"/>
    </row>
    <row r="15" spans="1:12" x14ac:dyDescent="0.45">
      <c r="I15" s="169"/>
      <c r="J15" s="169"/>
      <c r="K15" s="169"/>
    </row>
    <row r="16" spans="1:12" ht="15.75" x14ac:dyDescent="0.45">
      <c r="A16" s="172"/>
      <c r="B16" s="172"/>
      <c r="C16" s="172"/>
      <c r="D16" s="295" t="str">
        <f>'County One Time Input-BASE'!B23</f>
        <v>LAW ENFORCEMENT SERVICES ACCOUNT</v>
      </c>
      <c r="E16" s="294">
        <f>'County One Time Input-BASE'!C23</f>
        <v>0.35505877132294861</v>
      </c>
      <c r="F16" s="172"/>
      <c r="I16" s="555"/>
      <c r="J16" s="169"/>
      <c r="K16" s="169"/>
    </row>
    <row r="17" spans="1:12" ht="15.75" customHeight="1" thickBot="1" x14ac:dyDescent="0.5">
      <c r="I17" s="555"/>
      <c r="J17" s="169"/>
      <c r="K17" s="556"/>
    </row>
    <row r="18" spans="1:12" ht="57.4" thickBot="1" x14ac:dyDescent="0.5">
      <c r="A18" s="6" t="s">
        <v>1</v>
      </c>
      <c r="B18" s="156" t="s">
        <v>2</v>
      </c>
      <c r="C18" s="157" t="s">
        <v>3</v>
      </c>
      <c r="D18" s="157" t="str">
        <f>CONCATENATE("State Receipts up to:","  ",D3)</f>
        <v>State Receipts up to:  JULY</v>
      </c>
      <c r="E18" s="157" t="s">
        <v>4</v>
      </c>
      <c r="F18" s="158" t="s">
        <v>5</v>
      </c>
      <c r="G18" s="7" t="s">
        <v>93</v>
      </c>
      <c r="I18" s="17"/>
      <c r="J18" s="17"/>
      <c r="K18" s="17"/>
    </row>
    <row r="19" spans="1:12" ht="5.25" customHeight="1" thickBot="1" x14ac:dyDescent="0.5">
      <c r="A19" s="163"/>
      <c r="B19" s="164"/>
      <c r="C19" s="165"/>
      <c r="D19" s="165"/>
      <c r="E19" s="165"/>
      <c r="F19" s="166"/>
      <c r="G19" s="132"/>
      <c r="I19" s="169"/>
      <c r="J19" s="169"/>
      <c r="K19" s="169"/>
    </row>
    <row r="20" spans="1:12" ht="15.75" customHeight="1" x14ac:dyDescent="0.45">
      <c r="A20" t="str">
        <f>'County One Time Input-BASE'!A27</f>
        <v>TRIAL COURT SECURITY</v>
      </c>
      <c r="B20" s="159">
        <f>'County One Time Input-BASE'!B27</f>
        <v>550340286.53725004</v>
      </c>
      <c r="C20" s="8">
        <f>'County One Time Input-BASE'!C27</f>
        <v>0.27832042867541995</v>
      </c>
      <c r="D20" s="9">
        <f>'Monthly Receipts Input'!D14</f>
        <v>527497097.09999996</v>
      </c>
      <c r="E20" s="10">
        <f>D$43*G20</f>
        <v>574026849.89315951</v>
      </c>
      <c r="F20" s="11">
        <f>+E20-B20</f>
        <v>23686563.355909467</v>
      </c>
      <c r="G20" s="290">
        <f>'County One Time Input-BASE'!D27</f>
        <v>9.8820109439570966E-2</v>
      </c>
      <c r="I20" s="551"/>
      <c r="J20" s="557"/>
      <c r="K20" s="170"/>
      <c r="L20" s="317"/>
    </row>
    <row r="21" spans="1:12" x14ac:dyDescent="0.45">
      <c r="A21" t="str">
        <f>'County One Time Input-BASE'!A28</f>
        <v>COMMUNITY CORRECTIONS</v>
      </c>
      <c r="B21" s="159">
        <f>'County One Time Input-BASE'!B28</f>
        <v>1241062433.724375</v>
      </c>
      <c r="C21" s="8">
        <f>'County One Time Input-BASE'!C28</f>
        <v>0.62763536854710811</v>
      </c>
      <c r="D21" s="9">
        <f>'Monthly Receipts Input'!D15</f>
        <v>1189550303.7400002</v>
      </c>
      <c r="E21" s="10">
        <f>D$43*G21</f>
        <v>1294477574.6547527</v>
      </c>
      <c r="F21" s="11">
        <f>+E21-B21</f>
        <v>53415140.930377722</v>
      </c>
      <c r="G21" s="291">
        <f>'County One Time Input-BASE'!D28</f>
        <v>0.22284744279516225</v>
      </c>
      <c r="I21" s="551"/>
      <c r="J21" s="557"/>
      <c r="K21" s="170"/>
      <c r="L21" s="317"/>
    </row>
    <row r="22" spans="1:12" x14ac:dyDescent="0.45">
      <c r="A22" t="str">
        <f>'County One Time Input-BASE'!A29</f>
        <v>DA &amp; PUBLIC DEFENDER</v>
      </c>
      <c r="B22" s="159">
        <f>'County One Time Input-BASE'!B29</f>
        <v>33244162.253625002</v>
      </c>
      <c r="C22" s="8">
        <f>'County One Time Input-BASE'!C29</f>
        <v>1.6812379023896633E-2</v>
      </c>
      <c r="D22" s="9">
        <f>'Monthly Receipts Input'!D16</f>
        <v>31865509.809999995</v>
      </c>
      <c r="E22" s="10">
        <f>D$43*G22</f>
        <v>34674986.008849628</v>
      </c>
      <c r="F22" s="11">
        <f>+E22-B22</f>
        <v>1430823.7552246265</v>
      </c>
      <c r="G22" s="291">
        <f>'County One Time Input-BASE'!D29</f>
        <v>5.9693826392404536E-3</v>
      </c>
      <c r="I22" s="551"/>
      <c r="J22" s="557"/>
      <c r="K22" s="170"/>
      <c r="L22" s="317"/>
    </row>
    <row r="23" spans="1:12" ht="14.65" thickBot="1" x14ac:dyDescent="0.5">
      <c r="A23" t="str">
        <f>'County One Time Input-BASE'!A30</f>
        <v>JUVENILE JUSTICE</v>
      </c>
      <c r="B23" s="159">
        <f>'County One Time Input-BASE'!B30</f>
        <v>152715286.53724998</v>
      </c>
      <c r="C23" s="8">
        <f>'County One Time Input-BASE'!C30</f>
        <v>7.7231823753575263E-2</v>
      </c>
      <c r="D23" s="9">
        <f>'Monthly Receipts Input'!D17</f>
        <v>146377032.92000002</v>
      </c>
      <c r="E23" s="10">
        <f>D$43*G23</f>
        <v>159288129.55541345</v>
      </c>
      <c r="F23" s="11">
        <f>+E23-B23</f>
        <v>6572843.0181634724</v>
      </c>
      <c r="G23" s="292">
        <f>'County One Time Input-BASE'!D30</f>
        <v>2.7421836448974952E-2</v>
      </c>
      <c r="I23" s="551"/>
      <c r="J23" s="557"/>
      <c r="K23" s="170"/>
      <c r="L23" s="317"/>
    </row>
    <row r="24" spans="1:12" ht="14.65" thickBot="1" x14ac:dyDescent="0.5">
      <c r="A24" s="48" t="s">
        <v>41</v>
      </c>
      <c r="B24" s="197">
        <f t="shared" ref="B24:G24" si="1">SUM(B20:B23)</f>
        <v>1977362169.0525</v>
      </c>
      <c r="C24" s="299">
        <f t="shared" si="1"/>
        <v>1</v>
      </c>
      <c r="D24" s="300">
        <f t="shared" si="1"/>
        <v>1895289943.5700002</v>
      </c>
      <c r="E24" s="301">
        <f t="shared" si="1"/>
        <v>2062467540.1121752</v>
      </c>
      <c r="F24" s="302">
        <f t="shared" si="1"/>
        <v>85105371.059675291</v>
      </c>
      <c r="G24" s="183">
        <f t="shared" si="1"/>
        <v>0.35505877132294861</v>
      </c>
      <c r="I24" s="553"/>
      <c r="J24" s="558"/>
      <c r="K24" s="171"/>
    </row>
    <row r="25" spans="1:12" x14ac:dyDescent="0.45">
      <c r="I25" s="169"/>
      <c r="J25" s="169"/>
      <c r="K25" s="169"/>
    </row>
    <row r="26" spans="1:12" ht="14.65" thickBot="1" x14ac:dyDescent="0.5">
      <c r="D26" s="128"/>
    </row>
    <row r="27" spans="1:12" ht="14.65" thickBot="1" x14ac:dyDescent="0.5">
      <c r="A27" s="130" t="s">
        <v>89</v>
      </c>
      <c r="B27" s="303">
        <f>+B12+B24</f>
        <v>5569112295.64855</v>
      </c>
      <c r="C27" s="304"/>
      <c r="D27" s="303">
        <f>+D12+D24</f>
        <v>5337957757.96</v>
      </c>
      <c r="E27" s="305">
        <f>+E12+E24</f>
        <v>5808806053.2272539</v>
      </c>
      <c r="F27" s="306">
        <f>+F12+F24</f>
        <v>239693757.57870394</v>
      </c>
      <c r="G27" s="307">
        <f>+G12+G24</f>
        <v>0.99999999999999989</v>
      </c>
      <c r="H27" s="128"/>
      <c r="L27" s="318"/>
    </row>
    <row r="28" spans="1:12" x14ac:dyDescent="0.45">
      <c r="H28" s="14"/>
    </row>
    <row r="29" spans="1:12" x14ac:dyDescent="0.45">
      <c r="A29" s="2" t="s">
        <v>174</v>
      </c>
      <c r="B29" s="15">
        <f>HLOOKUP(D3,'Monthly Receipts Input'!D3:P27,25,FALSE)</f>
        <v>0.9189423280872564</v>
      </c>
    </row>
    <row r="30" spans="1:12" ht="42.75" x14ac:dyDescent="0.45">
      <c r="B30" s="15" t="s">
        <v>111</v>
      </c>
      <c r="C30" s="16" t="s">
        <v>6</v>
      </c>
      <c r="D30" s="17" t="s">
        <v>4</v>
      </c>
      <c r="E30" s="16" t="s">
        <v>5</v>
      </c>
    </row>
    <row r="31" spans="1:12" x14ac:dyDescent="0.45">
      <c r="A31" t="s">
        <v>7</v>
      </c>
      <c r="B31" s="18">
        <v>7.0381439004898169E-2</v>
      </c>
      <c r="C31" s="19">
        <f>SUM(+$B$27)*B31</f>
        <v>391962137.34761685</v>
      </c>
      <c r="D31" s="19">
        <f t="shared" ref="D31:D42" si="2">+B31*D$43</f>
        <v>408832128.92649722</v>
      </c>
      <c r="E31" s="19">
        <f t="shared" ref="E31:E42" si="3">D31-C31</f>
        <v>16869991.57888037</v>
      </c>
    </row>
    <row r="32" spans="1:12" x14ac:dyDescent="0.45">
      <c r="A32" t="s">
        <v>8</v>
      </c>
      <c r="B32" s="18">
        <v>7.9794271636124153E-2</v>
      </c>
      <c r="C32" s="19">
        <f t="shared" ref="C32:C42" si="4">SUM(+$B$27)*B32</f>
        <v>444383259.29105937</v>
      </c>
      <c r="D32" s="19">
        <f t="shared" si="2"/>
        <v>463509448.09277773</v>
      </c>
      <c r="E32" s="19">
        <f t="shared" si="3"/>
        <v>19126188.801718354</v>
      </c>
    </row>
    <row r="33" spans="1:6" x14ac:dyDescent="0.45">
      <c r="A33" t="s">
        <v>9</v>
      </c>
      <c r="B33" s="18">
        <v>9.3759983318815091E-2</v>
      </c>
      <c r="C33" s="19">
        <f t="shared" si="4"/>
        <v>522159875.94061607</v>
      </c>
      <c r="D33" s="19">
        <f t="shared" si="2"/>
        <v>544633558.6528194</v>
      </c>
      <c r="E33" s="19">
        <f t="shared" si="3"/>
        <v>22473682.712203324</v>
      </c>
    </row>
    <row r="34" spans="1:6" x14ac:dyDescent="0.45">
      <c r="A34" t="s">
        <v>10</v>
      </c>
      <c r="B34" s="18">
        <v>7.3853834331441034E-2</v>
      </c>
      <c r="C34" s="19">
        <f t="shared" si="4"/>
        <v>411300296.85601926</v>
      </c>
      <c r="D34" s="19">
        <f t="shared" si="2"/>
        <v>429002599.91851747</v>
      </c>
      <c r="E34" s="19">
        <f t="shared" si="3"/>
        <v>17702303.062498212</v>
      </c>
    </row>
    <row r="35" spans="1:6" x14ac:dyDescent="0.45">
      <c r="A35" t="s">
        <v>11</v>
      </c>
      <c r="B35" s="18">
        <v>7.4026210581727564E-2</v>
      </c>
      <c r="C35" s="19">
        <f t="shared" si="4"/>
        <v>412260279.55096775</v>
      </c>
      <c r="D35" s="19">
        <f t="shared" si="2"/>
        <v>430003900.12461448</v>
      </c>
      <c r="E35" s="19">
        <f t="shared" si="3"/>
        <v>17743620.573646724</v>
      </c>
    </row>
    <row r="36" spans="1:6" x14ac:dyDescent="0.45">
      <c r="A36" t="s">
        <v>12</v>
      </c>
      <c r="B36" s="18">
        <v>0.11192465242552883</v>
      </c>
      <c r="C36" s="19">
        <f t="shared" si="4"/>
        <v>623320958.00920296</v>
      </c>
      <c r="D36" s="19">
        <f t="shared" si="2"/>
        <v>650148598.51476836</v>
      </c>
      <c r="E36" s="19">
        <f t="shared" si="3"/>
        <v>26827640.505565405</v>
      </c>
    </row>
    <row r="37" spans="1:6" x14ac:dyDescent="0.45">
      <c r="A37" t="s">
        <v>13</v>
      </c>
      <c r="B37" s="18">
        <v>6.9930313952156389E-2</v>
      </c>
      <c r="C37" s="19">
        <f t="shared" si="4"/>
        <v>389449771.26951748</v>
      </c>
      <c r="D37" s="19">
        <f t="shared" si="2"/>
        <v>406211630.98936832</v>
      </c>
      <c r="E37" s="19">
        <f t="shared" si="3"/>
        <v>16761859.719850838</v>
      </c>
    </row>
    <row r="38" spans="1:6" x14ac:dyDescent="0.45">
      <c r="A38" t="s">
        <v>14</v>
      </c>
      <c r="B38" s="18">
        <v>6.778651837346672E-2</v>
      </c>
      <c r="C38" s="19">
        <f t="shared" si="4"/>
        <v>377510732.95287985</v>
      </c>
      <c r="D38" s="19">
        <f t="shared" si="2"/>
        <v>393758738.25499398</v>
      </c>
      <c r="E38" s="19">
        <f t="shared" si="3"/>
        <v>16248005.302114129</v>
      </c>
    </row>
    <row r="39" spans="1:6" x14ac:dyDescent="0.45">
      <c r="A39" t="s">
        <v>15</v>
      </c>
      <c r="B39" s="18">
        <v>9.8403283619687615E-2</v>
      </c>
      <c r="C39" s="19">
        <f t="shared" si="4"/>
        <v>548018936.73859382</v>
      </c>
      <c r="D39" s="19">
        <f t="shared" si="2"/>
        <v>571605589.54747975</v>
      </c>
      <c r="E39" s="19">
        <f t="shared" si="3"/>
        <v>23586652.808885932</v>
      </c>
    </row>
    <row r="40" spans="1:6" x14ac:dyDescent="0.45">
      <c r="A40" t="s">
        <v>16</v>
      </c>
      <c r="B40" s="18">
        <v>7.7157246825014708E-2</v>
      </c>
      <c r="C40" s="19">
        <f t="shared" si="4"/>
        <v>429697371.99157947</v>
      </c>
      <c r="D40" s="19">
        <f t="shared" si="2"/>
        <v>448191482.40749478</v>
      </c>
      <c r="E40" s="19">
        <f t="shared" si="3"/>
        <v>18494110.41591531</v>
      </c>
    </row>
    <row r="41" spans="1:6" x14ac:dyDescent="0.45">
      <c r="A41" t="s">
        <v>17</v>
      </c>
      <c r="B41" s="18">
        <v>0.10192457401839608</v>
      </c>
      <c r="C41" s="19">
        <f t="shared" si="4"/>
        <v>567629398.39459038</v>
      </c>
      <c r="D41" s="19">
        <f t="shared" si="2"/>
        <v>592060082.5306685</v>
      </c>
      <c r="E41" s="19">
        <f t="shared" si="3"/>
        <v>24430684.136078119</v>
      </c>
    </row>
    <row r="42" spans="1:6" x14ac:dyDescent="0.45">
      <c r="A42" t="s">
        <v>18</v>
      </c>
      <c r="B42" s="20">
        <v>8.1057671912743712E-2</v>
      </c>
      <c r="C42" s="19">
        <f t="shared" si="4"/>
        <v>451419277.30590713</v>
      </c>
      <c r="D42" s="19">
        <f t="shared" si="2"/>
        <v>470848295.26725441</v>
      </c>
      <c r="E42" s="19">
        <f t="shared" si="3"/>
        <v>19429017.961347282</v>
      </c>
    </row>
    <row r="43" spans="1:6" x14ac:dyDescent="0.45">
      <c r="B43" s="21">
        <f>SUM(B31:B42)</f>
        <v>1</v>
      </c>
      <c r="C43" s="22">
        <f>SUM(C31:C42)</f>
        <v>5569112295.64855</v>
      </c>
      <c r="D43" s="22">
        <f>SUM(+D27)/B29</f>
        <v>5808806053.2272539</v>
      </c>
      <c r="E43" s="22">
        <f>SUM(E31:E42)</f>
        <v>239693757.578704</v>
      </c>
      <c r="F43" s="323"/>
    </row>
    <row r="45" spans="1:6" x14ac:dyDescent="0.45">
      <c r="E45" s="324"/>
    </row>
    <row r="46" spans="1:6" x14ac:dyDescent="0.45">
      <c r="E46" s="324"/>
    </row>
    <row r="47" spans="1:6" x14ac:dyDescent="0.45">
      <c r="C47" s="325"/>
    </row>
  </sheetData>
  <mergeCells count="1">
    <mergeCell ref="A1:K1"/>
  </mergeCells>
  <phoneticPr fontId="18" type="noConversion"/>
  <pageMargins left="0.7" right="0.7" top="0.75" bottom="0.75" header="0.3" footer="0.3"/>
  <pageSetup scale="66" orientation="landscape" r:id="rId1"/>
  <headerFooter alignWithMargins="0">
    <oddHeader>&amp;C&amp;"Calibri,Bold"&amp;14&amp;A</oddHeader>
    <oddFooter>&amp;L&amp;Z&amp;F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437"/>
  <sheetViews>
    <sheetView workbookViewId="0">
      <selection activeCell="L28" sqref="L28"/>
    </sheetView>
  </sheetViews>
  <sheetFormatPr defaultColWidth="9.1328125" defaultRowHeight="14.25" outlineLevelRow="1" x14ac:dyDescent="0.45"/>
  <cols>
    <col min="1" max="1" width="27.59765625" style="2" customWidth="1"/>
    <col min="2" max="2" width="17.3984375" style="2" bestFit="1" customWidth="1"/>
    <col min="3" max="3" width="16.86328125" style="2" bestFit="1" customWidth="1"/>
    <col min="4" max="4" width="18.3984375" style="2" bestFit="1" customWidth="1"/>
    <col min="5" max="5" width="5.1328125" style="2" customWidth="1"/>
    <col min="6" max="6" width="18" style="2" customWidth="1"/>
    <col min="7" max="7" width="15.73046875" style="2" customWidth="1"/>
    <col min="8" max="8" width="15.86328125" style="2" customWidth="1"/>
    <col min="9" max="9" width="9.1328125" style="2"/>
    <col min="10" max="10" width="11.59765625" style="2" bestFit="1" customWidth="1"/>
    <col min="11" max="16384" width="9.1328125" style="2"/>
  </cols>
  <sheetData>
    <row r="1" spans="1:11" ht="15.75" customHeight="1" thickBot="1" x14ac:dyDescent="0.5">
      <c r="A1" s="172"/>
      <c r="B1" s="172" t="s">
        <v>100</v>
      </c>
      <c r="C1" s="451" t="str">
        <f>'County One Time Input-BASE'!C1</f>
        <v>2017-18</v>
      </c>
      <c r="D1" s="179"/>
      <c r="F1" s="622"/>
      <c r="G1" s="621"/>
    </row>
    <row r="2" spans="1:11" ht="16.149999999999999" thickBot="1" x14ac:dyDescent="0.5">
      <c r="A2" s="1"/>
      <c r="B2" s="173" t="s">
        <v>97</v>
      </c>
      <c r="C2" s="452" t="str">
        <f>'County One Time Input-BASE'!C2</f>
        <v>San Mateo</v>
      </c>
      <c r="D2" s="180" t="s">
        <v>271</v>
      </c>
      <c r="E2" s="169"/>
      <c r="F2" s="623"/>
      <c r="G2" s="624"/>
    </row>
    <row r="3" spans="1:11" ht="16.149999999999999" thickBot="1" x14ac:dyDescent="0.5">
      <c r="A3" s="1"/>
      <c r="B3" s="550" t="s">
        <v>272</v>
      </c>
      <c r="C3" s="654">
        <f>IF(D3&lt;&gt;0,D3,'Statewide Forecast Model'!E43)</f>
        <v>239693757.578704</v>
      </c>
      <c r="D3" s="653">
        <v>0</v>
      </c>
      <c r="G3" s="128"/>
      <c r="K3" s="625"/>
    </row>
    <row r="4" spans="1:11" ht="15" customHeight="1" x14ac:dyDescent="0.45">
      <c r="A4" s="733" t="s">
        <v>305</v>
      </c>
      <c r="B4" s="733"/>
      <c r="C4" s="733"/>
      <c r="D4" s="733"/>
      <c r="E4" s="733"/>
      <c r="F4" s="733"/>
      <c r="G4" s="733"/>
    </row>
    <row r="5" spans="1:11" ht="14.65" thickBot="1" x14ac:dyDescent="0.5">
      <c r="A5" s="733"/>
      <c r="B5" s="733"/>
      <c r="C5" s="733"/>
      <c r="D5" s="733"/>
      <c r="E5" s="733"/>
      <c r="F5" s="733"/>
      <c r="G5" s="733"/>
    </row>
    <row r="6" spans="1:11" ht="15.75" customHeight="1" thickBot="1" x14ac:dyDescent="0.5">
      <c r="B6" s="3" t="s">
        <v>98</v>
      </c>
      <c r="C6" s="355">
        <v>0.65</v>
      </c>
      <c r="D6" s="356">
        <f>C3*C6</f>
        <v>155800942.42615759</v>
      </c>
      <c r="F6" s="142"/>
    </row>
    <row r="7" spans="1:11" ht="16.149999999999999" thickBot="1" x14ac:dyDescent="0.5">
      <c r="B7" s="5"/>
      <c r="F7" s="142"/>
    </row>
    <row r="8" spans="1:11" ht="57.4" thickBot="1" x14ac:dyDescent="0.5">
      <c r="A8" s="201" t="s">
        <v>1</v>
      </c>
      <c r="B8" s="156" t="s">
        <v>235</v>
      </c>
      <c r="C8" s="158" t="s">
        <v>168</v>
      </c>
      <c r="D8" s="202" t="s">
        <v>236</v>
      </c>
      <c r="F8" s="226" t="str">
        <f>CONCATENATE(C2," ","County Portion (% Of Growth per DOF &amp; BH Spreadsheet" )</f>
        <v>San Mateo County Portion (% Of Growth per DOF &amp; BH Spreadsheet</v>
      </c>
      <c r="G8" s="227" t="str">
        <f>CONCATENATE(C2," ","County Portion of Growth")</f>
        <v>San Mateo County Portion of Growth</v>
      </c>
      <c r="H8" s="17"/>
    </row>
    <row r="9" spans="1:11" ht="6.75" customHeight="1" thickBot="1" x14ac:dyDescent="0.5">
      <c r="A9" s="155"/>
      <c r="B9" s="364"/>
      <c r="C9" s="364"/>
      <c r="D9" s="162"/>
      <c r="F9" s="151"/>
      <c r="G9" s="152"/>
      <c r="H9" s="169"/>
    </row>
    <row r="10" spans="1:11" ht="28.5" x14ac:dyDescent="0.45">
      <c r="A10" s="359" t="s">
        <v>162</v>
      </c>
      <c r="B10" s="655">
        <f>D$6*C10</f>
        <v>70110424.091770917</v>
      </c>
      <c r="C10" s="362">
        <v>0.45</v>
      </c>
      <c r="D10" s="311">
        <f>B10/C$3</f>
        <v>0.29249999999999998</v>
      </c>
      <c r="F10" s="445">
        <f ca="1">SUM(SUMIF(A73:A132,C2,B73:B131)*0.9)+SUM(SUMIF(A73:A132,C2,F73:F131)*0.1)</f>
        <v>1.041039729116942E-2</v>
      </c>
      <c r="G10" s="223">
        <f ca="1">B10*F10</f>
        <v>729877.36904771125</v>
      </c>
      <c r="H10" s="170"/>
    </row>
    <row r="11" spans="1:11" outlineLevel="1" x14ac:dyDescent="0.35">
      <c r="A11" s="563" t="s">
        <v>275</v>
      </c>
      <c r="B11" s="626">
        <f>B10*0.9</f>
        <v>63099381.68259383</v>
      </c>
      <c r="C11" s="377"/>
      <c r="D11" s="311"/>
      <c r="F11" s="561">
        <f>SUMIF(A73:A132,C$2,B73:B132)</f>
        <v>1.0239885879077131E-2</v>
      </c>
      <c r="G11" s="562">
        <f>B11*F11</f>
        <v>646130.46747009072</v>
      </c>
      <c r="H11" s="170"/>
    </row>
    <row r="12" spans="1:11" outlineLevel="1" x14ac:dyDescent="0.35">
      <c r="A12" s="563" t="s">
        <v>276</v>
      </c>
      <c r="B12" s="626">
        <f>B10*0.1</f>
        <v>7011042.4091770919</v>
      </c>
      <c r="C12" s="377"/>
      <c r="D12" s="311"/>
      <c r="F12" s="561">
        <f>SUMIF(A73:A132,C$2,F73:F132)</f>
        <v>1.1945000000000001E-2</v>
      </c>
      <c r="G12" s="562">
        <f>B12*F12</f>
        <v>83746.901577620374</v>
      </c>
      <c r="H12" s="588"/>
    </row>
    <row r="13" spans="1:11" ht="8.25" customHeight="1" x14ac:dyDescent="0.45">
      <c r="A13" s="643"/>
      <c r="B13" s="644"/>
      <c r="C13" s="645"/>
      <c r="D13" s="646"/>
      <c r="F13" s="647"/>
      <c r="G13" s="648"/>
      <c r="H13" s="170"/>
    </row>
    <row r="14" spans="1:11" ht="28.5" x14ac:dyDescent="0.45">
      <c r="A14" s="359" t="s">
        <v>163</v>
      </c>
      <c r="B14" s="656">
        <f>D$6*C14</f>
        <v>77900471.213078797</v>
      </c>
      <c r="C14" s="363">
        <v>0.5</v>
      </c>
      <c r="D14" s="311">
        <f>B14/C$3</f>
        <v>0.32500000000000001</v>
      </c>
      <c r="F14" s="446">
        <f>SUMIF(A148:A207,C$2,F148:F207)</f>
        <v>8.0390113649218432E-3</v>
      </c>
      <c r="G14" s="223">
        <f>B14*F14</f>
        <v>626242.77341470728</v>
      </c>
      <c r="H14" s="170"/>
    </row>
    <row r="15" spans="1:11" ht="14.65" thickBot="1" x14ac:dyDescent="0.5">
      <c r="A15" s="371" t="s">
        <v>169</v>
      </c>
      <c r="B15" s="657">
        <f>D$6*C15</f>
        <v>7790047.1213078797</v>
      </c>
      <c r="C15" s="370">
        <v>0.05</v>
      </c>
      <c r="D15" s="311">
        <f>B15/C$3</f>
        <v>3.2500000000000001E-2</v>
      </c>
      <c r="F15" s="238"/>
      <c r="G15" s="461"/>
      <c r="H15" s="170"/>
    </row>
    <row r="16" spans="1:11" ht="14.65" thickBot="1" x14ac:dyDescent="0.5">
      <c r="A16" s="357" t="s">
        <v>170</v>
      </c>
      <c r="B16" s="658">
        <f>SUM(B10+B13+B14)</f>
        <v>148010895.30484971</v>
      </c>
      <c r="C16" s="365">
        <f>SUM(C10:C14)</f>
        <v>0.95</v>
      </c>
      <c r="D16" s="312">
        <f>SUM(D10:D15)</f>
        <v>0.64999999999999991</v>
      </c>
      <c r="F16" s="309"/>
      <c r="G16" s="310">
        <f ca="1">SUM(G10+G13+G14)</f>
        <v>1356120.1424624184</v>
      </c>
      <c r="H16" s="171"/>
    </row>
    <row r="17" spans="1:8" x14ac:dyDescent="0.45">
      <c r="B17" s="14"/>
    </row>
    <row r="18" spans="1:8" ht="14.65" thickBot="1" x14ac:dyDescent="0.5">
      <c r="B18" s="14"/>
    </row>
    <row r="19" spans="1:8" ht="15.75" customHeight="1" thickBot="1" x14ac:dyDescent="0.5">
      <c r="B19" s="659" t="s">
        <v>99</v>
      </c>
      <c r="C19" s="355">
        <v>0.35</v>
      </c>
      <c r="D19" s="356">
        <f>C3*C19</f>
        <v>83892815.152546391</v>
      </c>
      <c r="F19" s="545" t="s">
        <v>260</v>
      </c>
    </row>
    <row r="20" spans="1:8" ht="15.75" customHeight="1" thickBot="1" x14ac:dyDescent="0.5">
      <c r="B20" s="14"/>
      <c r="F20" s="142"/>
    </row>
    <row r="21" spans="1:8" ht="57.4" thickBot="1" x14ac:dyDescent="0.5">
      <c r="A21" s="201" t="s">
        <v>1</v>
      </c>
      <c r="B21" s="660" t="s">
        <v>235</v>
      </c>
      <c r="C21" s="158" t="s">
        <v>168</v>
      </c>
      <c r="D21" s="202" t="s">
        <v>236</v>
      </c>
      <c r="E21" s="15"/>
      <c r="F21" s="226" t="str">
        <f>CONCATENATE(C2," ","County Portion (% of Allocation)")</f>
        <v>San Mateo County Portion (% of Allocation)</v>
      </c>
      <c r="G21" s="227" t="str">
        <f>CONCATENATE(C2," ","County Portion of Growth")</f>
        <v>San Mateo County Portion of Growth</v>
      </c>
      <c r="H21" s="17"/>
    </row>
    <row r="22" spans="1:8" ht="5.25" customHeight="1" thickBot="1" x14ac:dyDescent="0.5">
      <c r="A22" s="163"/>
      <c r="B22" s="661"/>
      <c r="C22" s="165"/>
      <c r="D22" s="166"/>
      <c r="F22" s="153"/>
      <c r="G22" s="154"/>
      <c r="H22" s="169"/>
    </row>
    <row r="23" spans="1:8" ht="28.5" x14ac:dyDescent="0.45">
      <c r="A23" s="359" t="s">
        <v>164</v>
      </c>
      <c r="B23" s="366">
        <f>D$19*C23</f>
        <v>8389281.5152546391</v>
      </c>
      <c r="C23" s="360">
        <v>0.1</v>
      </c>
      <c r="D23" s="311">
        <f>B23/C$3</f>
        <v>3.4999999999999996E-2</v>
      </c>
      <c r="F23" s="447">
        <f>SUMIF($A$224:$A$283,$C$2,B$224:B$283)</f>
        <v>2.0628000182087165E-2</v>
      </c>
      <c r="G23" s="177">
        <f t="shared" ref="G23:G28" si="0">B23*F23</f>
        <v>173054.10062425319</v>
      </c>
      <c r="H23" s="169"/>
    </row>
    <row r="24" spans="1:8" ht="28.5" x14ac:dyDescent="0.45">
      <c r="A24" s="359" t="s">
        <v>165</v>
      </c>
      <c r="B24" s="367">
        <f>D$19*C24</f>
        <v>62919611.364409789</v>
      </c>
      <c r="C24" s="361">
        <v>0.75</v>
      </c>
      <c r="D24" s="311">
        <f>B24/C$3</f>
        <v>0.26249999999999996</v>
      </c>
      <c r="F24" s="448">
        <f>SUMIF($A$224:$A$283,$C$2,F$224:F$283)</f>
        <v>1.2296586650428433E-2</v>
      </c>
      <c r="G24" s="178">
        <f t="shared" si="0"/>
        <v>773696.45315374655</v>
      </c>
      <c r="H24" s="169"/>
    </row>
    <row r="25" spans="1:8" ht="28.5" x14ac:dyDescent="0.45">
      <c r="A25" s="359" t="s">
        <v>166</v>
      </c>
      <c r="B25" s="367">
        <f>D$19*C25</f>
        <v>4194640.7576273195</v>
      </c>
      <c r="C25" s="361">
        <v>0.05</v>
      </c>
      <c r="D25" s="311">
        <f>B25/C$3</f>
        <v>1.7499999999999998E-2</v>
      </c>
      <c r="F25" s="448">
        <f>SUMIF($A$301:$A$360,$C$2,B$301:B$360)</f>
        <v>1.2445013111232743E-2</v>
      </c>
      <c r="G25" s="178">
        <f t="shared" si="0"/>
        <v>52202.359225583241</v>
      </c>
      <c r="H25" s="169"/>
    </row>
    <row r="26" spans="1:8" ht="28.5" x14ac:dyDescent="0.45">
      <c r="A26" s="359" t="s">
        <v>167</v>
      </c>
      <c r="B26" s="367">
        <f>D$19*C26</f>
        <v>8389281.5152546391</v>
      </c>
      <c r="C26" s="361">
        <v>0.1</v>
      </c>
      <c r="D26" s="311">
        <f>B26/C$3</f>
        <v>3.4999999999999996E-2</v>
      </c>
      <c r="F26" s="449">
        <f>SUMIF($A$301:$A$360,$C$2,F$301:F$360)</f>
        <v>1.5195666934010026E-2</v>
      </c>
      <c r="G26" s="308">
        <f>G27+G28</f>
        <v>127480.72772145644</v>
      </c>
      <c r="H26" s="169"/>
    </row>
    <row r="27" spans="1:8" outlineLevel="1" x14ac:dyDescent="0.35">
      <c r="A27" s="375" t="s">
        <v>154</v>
      </c>
      <c r="B27" s="376">
        <f>B26*C27</f>
        <v>7926277.0684277359</v>
      </c>
      <c r="C27" s="377">
        <v>0.94481000000000004</v>
      </c>
      <c r="D27" s="313"/>
      <c r="E27" s="378"/>
      <c r="F27" s="450">
        <f>SUMIF($A$378:$A$437,$C$2,B$378:B$437)</f>
        <v>1.5135176057473242E-2</v>
      </c>
      <c r="G27" s="372">
        <f t="shared" si="0"/>
        <v>119965.59891096667</v>
      </c>
      <c r="H27" s="380"/>
    </row>
    <row r="28" spans="1:8" ht="14.65" outlineLevel="1" thickBot="1" x14ac:dyDescent="0.4">
      <c r="A28" s="375" t="s">
        <v>155</v>
      </c>
      <c r="B28" s="376">
        <f>B26*C28</f>
        <v>463004.44682690356</v>
      </c>
      <c r="C28" s="377">
        <v>5.5190000000000003E-2</v>
      </c>
      <c r="D28" s="313"/>
      <c r="E28" s="378"/>
      <c r="F28" s="450">
        <f>SUMIF($A$378:$A$437,$C$2,F$378:F$437)</f>
        <v>1.6231223829475099E-2</v>
      </c>
      <c r="G28" s="372">
        <f t="shared" si="0"/>
        <v>7515.1288104897731</v>
      </c>
      <c r="H28" s="169"/>
    </row>
    <row r="29" spans="1:8" ht="14.65" thickBot="1" x14ac:dyDescent="0.5">
      <c r="A29" s="357" t="s">
        <v>41</v>
      </c>
      <c r="B29" s="358">
        <f>SUM(B23:B26)</f>
        <v>83892815.152546376</v>
      </c>
      <c r="C29" s="314">
        <f>SUM(C23:C26)</f>
        <v>1</v>
      </c>
      <c r="D29" s="312">
        <f>SUM(D23:D26)</f>
        <v>0.34999999999999992</v>
      </c>
      <c r="F29" s="309"/>
      <c r="G29" s="310">
        <f>SUM(G23:G26)</f>
        <v>1126433.6407250394</v>
      </c>
      <c r="H29" s="169"/>
    </row>
    <row r="30" spans="1:8" ht="14.65" thickBot="1" x14ac:dyDescent="0.5">
      <c r="B30" s="14"/>
      <c r="H30" s="169"/>
    </row>
    <row r="31" spans="1:8" ht="28.9" thickBot="1" x14ac:dyDescent="0.5">
      <c r="A31" s="130" t="s">
        <v>171</v>
      </c>
      <c r="B31" s="52">
        <f>+B16+B29</f>
        <v>231903710.45739609</v>
      </c>
      <c r="C31" s="131"/>
      <c r="D31" s="184">
        <f>D16+D29</f>
        <v>0.99999999999999978</v>
      </c>
      <c r="H31" s="169"/>
    </row>
    <row r="33" spans="1:7" ht="15.75" x14ac:dyDescent="0.45">
      <c r="A33" s="737" t="s">
        <v>139</v>
      </c>
      <c r="B33" s="737"/>
      <c r="C33" s="737"/>
      <c r="D33" s="737"/>
      <c r="E33" s="737"/>
      <c r="F33" s="737"/>
      <c r="G33" s="737"/>
    </row>
    <row r="34" spans="1:7" x14ac:dyDescent="0.45">
      <c r="A34" s="733"/>
      <c r="B34" s="733"/>
      <c r="C34" s="733"/>
      <c r="D34" s="733"/>
      <c r="E34" s="733"/>
      <c r="F34" s="733"/>
      <c r="G34" s="733"/>
    </row>
    <row r="35" spans="1:7" x14ac:dyDescent="0.45">
      <c r="A35"/>
      <c r="B35" s="23" t="s">
        <v>277</v>
      </c>
      <c r="C35" s="39">
        <f>B10*0.9</f>
        <v>63099381.68259383</v>
      </c>
      <c r="F35" s="23" t="s">
        <v>279</v>
      </c>
      <c r="G35" s="138">
        <f>+G11</f>
        <v>646130.46747009072</v>
      </c>
    </row>
    <row r="36" spans="1:7" x14ac:dyDescent="0.45">
      <c r="A36"/>
      <c r="B36" s="23" t="s">
        <v>278</v>
      </c>
      <c r="C36" s="39">
        <f>B10*0.1</f>
        <v>7011042.4091770919</v>
      </c>
      <c r="F36" s="23" t="s">
        <v>280</v>
      </c>
      <c r="G36" s="138">
        <f>+G12</f>
        <v>83746.901577620374</v>
      </c>
    </row>
    <row r="37" spans="1:7" ht="14.65" thickBot="1" x14ac:dyDescent="0.5">
      <c r="C37" s="14"/>
      <c r="G37" s="138"/>
    </row>
    <row r="38" spans="1:7" ht="71.650000000000006" thickBot="1" x14ac:dyDescent="0.5">
      <c r="A38" s="228" t="s">
        <v>37</v>
      </c>
      <c r="B38" s="229" t="s">
        <v>319</v>
      </c>
      <c r="C38" s="230" t="s">
        <v>320</v>
      </c>
      <c r="D38" s="15"/>
      <c r="E38" s="15"/>
      <c r="F38" s="225" t="str">
        <f>CONCATENATE(C2," County % Distribution ")</f>
        <v xml:space="preserve">San Mateo County % Distribution </v>
      </c>
      <c r="G38" s="224" t="str">
        <f>CONCATENATE(C2," County Portion (Distribution to Programs w/ 10% to CWS only)")</f>
        <v>San Mateo County Portion (Distribution to Programs w/ 10% to CWS only)</v>
      </c>
    </row>
    <row r="39" spans="1:7" ht="5.25" customHeight="1" thickBot="1" x14ac:dyDescent="0.5">
      <c r="A39" s="191"/>
      <c r="B39" s="191"/>
      <c r="C39" s="186"/>
      <c r="F39" s="185"/>
      <c r="G39" s="186"/>
    </row>
    <row r="40" spans="1:7" x14ac:dyDescent="0.45">
      <c r="A40" s="695" t="s">
        <v>32</v>
      </c>
      <c r="B40" s="243">
        <f>('County One Time Input-BASE'!B43)/SUM('County One Time Input-BASE'!B$53-'County One Time Input-BASE'!B$51)</f>
        <v>0.21389723467194116</v>
      </c>
      <c r="C40" s="697">
        <f>C$35*B40</f>
        <v>13496783.251416158</v>
      </c>
      <c r="F40" s="243">
        <f>SUM('County One Time Input-BASE'!F43)/SUM('County One Time Input-BASE'!F$53-'County One Time Input-BASE'!F$51)</f>
        <v>0.12923985390000001</v>
      </c>
      <c r="G40" s="194">
        <f>G$35*F40</f>
        <v>83505.807216173227</v>
      </c>
    </row>
    <row r="41" spans="1:7" x14ac:dyDescent="0.45">
      <c r="A41" s="696" t="s">
        <v>33</v>
      </c>
      <c r="B41" s="244">
        <f>('County One Time Input-BASE'!B44)/SUM('County One Time Input-BASE'!B$53-'County One Time Input-BASE'!B$51)</f>
        <v>0.21960848013061907</v>
      </c>
      <c r="C41" s="698">
        <f t="shared" ref="C41:C47" si="1">C$35*B41</f>
        <v>13857159.308496255</v>
      </c>
      <c r="F41" s="244">
        <f>SUM('County One Time Input-BASE'!F44)/SUM('County One Time Input-BASE'!F$53-'County One Time Input-BASE'!F$51)</f>
        <v>0.15281752949999999</v>
      </c>
      <c r="G41" s="189">
        <f t="shared" ref="G41:G47" si="2">G$35*F41</f>
        <v>98740.061773459369</v>
      </c>
    </row>
    <row r="42" spans="1:7" x14ac:dyDescent="0.45">
      <c r="A42" s="696" t="s">
        <v>34</v>
      </c>
      <c r="B42" s="244">
        <f>('County One Time Input-BASE'!B45)/SUM('County One Time Input-BASE'!B$53-'County One Time Input-BASE'!B$51)</f>
        <v>3.1954783654367221E-2</v>
      </c>
      <c r="C42" s="698">
        <f t="shared" si="1"/>
        <v>2016327.0903916277</v>
      </c>
      <c r="F42" s="244">
        <f>SUM('County One Time Input-BASE'!F45)/SUM('County One Time Input-BASE'!F$53-'County One Time Input-BASE'!F$51)</f>
        <v>6.4569631700000005E-2</v>
      </c>
      <c r="G42" s="189">
        <f t="shared" si="2"/>
        <v>41720.406314692591</v>
      </c>
    </row>
    <row r="43" spans="1:7" x14ac:dyDescent="0.45">
      <c r="A43" s="188" t="s">
        <v>35</v>
      </c>
      <c r="B43" s="244">
        <f>('County One Time Input-BASE'!B46)/SUM('County One Time Input-BASE'!B$53-'County One Time Input-BASE'!B$51)</f>
        <v>7.5903796819562211E-3</v>
      </c>
      <c r="C43" s="189">
        <f t="shared" si="1"/>
        <v>478948.26466756075</v>
      </c>
      <c r="F43" s="244">
        <f>SUM('County One Time Input-BASE'!F46)/SUM('County One Time Input-BASE'!F$53-'County One Time Input-BASE'!F$51)</f>
        <v>1.1448822900000001E-2</v>
      </c>
      <c r="G43" s="189">
        <f t="shared" si="2"/>
        <v>7397.4332923592801</v>
      </c>
    </row>
    <row r="44" spans="1:7" x14ac:dyDescent="0.45">
      <c r="A44" s="188" t="s">
        <v>30</v>
      </c>
      <c r="B44" s="244">
        <f>('County One Time Input-BASE'!B47)/SUM('County One Time Input-BASE'!B$53-'County One Time Input-BASE'!B$51)</f>
        <v>3.0917472320654525E-2</v>
      </c>
      <c r="C44" s="189">
        <f t="shared" si="1"/>
        <v>1950873.3866220098</v>
      </c>
      <c r="F44" s="244">
        <f>SUM('County One Time Input-BASE'!F47)/SUM('County One Time Input-BASE'!F$53-'County One Time Input-BASE'!F$51)</f>
        <v>6.3446434699999998E-2</v>
      </c>
      <c r="G44" s="189">
        <f t="shared" si="2"/>
        <v>40994.674512021586</v>
      </c>
    </row>
    <row r="45" spans="1:7" x14ac:dyDescent="0.45">
      <c r="A45" s="188" t="s">
        <v>36</v>
      </c>
      <c r="B45" s="244">
        <f>('County One Time Input-BASE'!B48)/SUM('County One Time Input-BASE'!B$53-'County One Time Input-BASE'!B$51)</f>
        <v>0.45299664808076551</v>
      </c>
      <c r="C45" s="189">
        <f>SUM(C$35*B45)+C37+C36</f>
        <v>35594850.807360955</v>
      </c>
      <c r="F45" s="244">
        <f>SUM('County One Time Input-BASE'!F48)/SUM('County One Time Input-BASE'!F$53-'County One Time Input-BASE'!F$51)</f>
        <v>0.52799938930000001</v>
      </c>
      <c r="G45" s="189">
        <f>SUM(G$35*F45)+G37+G36</f>
        <v>424903.39380995178</v>
      </c>
    </row>
    <row r="46" spans="1:7" x14ac:dyDescent="0.45">
      <c r="A46" s="188" t="s">
        <v>28</v>
      </c>
      <c r="B46" s="244">
        <f>('County One Time Input-BASE'!B49)/SUM('County One Time Input-BASE'!B$53-'County One Time Input-BASE'!B$51)</f>
        <v>2.1314724767292539E-2</v>
      </c>
      <c r="C46" s="189">
        <f t="shared" si="1"/>
        <v>1344945.9535508279</v>
      </c>
      <c r="F46" s="244">
        <f>SUM('County One Time Input-BASE'!F49)/SUM('County One Time Input-BASE'!F$53-'County One Time Input-BASE'!F$51)</f>
        <v>2.3759667200000001E-2</v>
      </c>
      <c r="G46" s="189">
        <f t="shared" si="2"/>
        <v>15351.844874869783</v>
      </c>
    </row>
    <row r="47" spans="1:7" x14ac:dyDescent="0.45">
      <c r="A47" s="188" t="s">
        <v>29</v>
      </c>
      <c r="B47" s="244">
        <f>('County One Time Input-BASE'!B50)/SUM('County One Time Input-BASE'!B$53-'County One Time Input-BASE'!B$51)</f>
        <v>2.1720276692403735E-2</v>
      </c>
      <c r="C47" s="189">
        <f t="shared" si="1"/>
        <v>1370536.0292655299</v>
      </c>
      <c r="F47" s="244">
        <f>SUM('County One Time Input-BASE'!F50)/SUM('County One Time Input-BASE'!F$53-'County One Time Input-BASE'!F$51)</f>
        <v>2.67186708E-2</v>
      </c>
      <c r="G47" s="189">
        <f t="shared" si="2"/>
        <v>17263.747254183461</v>
      </c>
    </row>
    <row r="48" spans="1:7" x14ac:dyDescent="0.45">
      <c r="A48" s="188" t="s">
        <v>31</v>
      </c>
      <c r="B48" s="244">
        <v>0</v>
      </c>
      <c r="C48" s="189">
        <f>ROUND(C$35*B48,0)</f>
        <v>0</v>
      </c>
      <c r="F48" s="244">
        <v>0</v>
      </c>
      <c r="G48" s="189">
        <f>ROUND(G$35*F48,0)</f>
        <v>0</v>
      </c>
    </row>
    <row r="49" spans="1:7" ht="14.65" thickBot="1" x14ac:dyDescent="0.5">
      <c r="A49" s="346"/>
      <c r="B49" s="242"/>
      <c r="C49" s="190">
        <f>ROUND(C$35*B49,0)</f>
        <v>0</v>
      </c>
      <c r="F49" s="342">
        <v>0</v>
      </c>
      <c r="G49" s="190">
        <f>ROUND(G$35*F49,0)</f>
        <v>0</v>
      </c>
    </row>
    <row r="50" spans="1:7" ht="14.65" thickBot="1" x14ac:dyDescent="0.5">
      <c r="A50" s="198" t="s">
        <v>102</v>
      </c>
      <c r="B50" s="215">
        <f>SUM(B40:B49)</f>
        <v>1</v>
      </c>
      <c r="C50" s="200">
        <f>SUM(C40:C49)</f>
        <v>70110424.091770917</v>
      </c>
      <c r="F50" s="187">
        <f>SUM(F40:F48)</f>
        <v>1</v>
      </c>
      <c r="G50" s="200">
        <f>SUM(G40:G48)</f>
        <v>729877.36904771114</v>
      </c>
    </row>
    <row r="53" spans="1:7" x14ac:dyDescent="0.45">
      <c r="A53" t="s">
        <v>43</v>
      </c>
      <c r="B53"/>
      <c r="C53" s="39">
        <f>B14</f>
        <v>77900471.213078797</v>
      </c>
      <c r="F53" s="2" t="s">
        <v>103</v>
      </c>
      <c r="G53" s="138">
        <f>G14</f>
        <v>626242.77341470728</v>
      </c>
    </row>
    <row r="54" spans="1:7" ht="14.65" thickBot="1" x14ac:dyDescent="0.5"/>
    <row r="55" spans="1:7" ht="57.4" thickBot="1" x14ac:dyDescent="0.5">
      <c r="A55" s="228" t="s">
        <v>37</v>
      </c>
      <c r="B55" s="229" t="s">
        <v>106</v>
      </c>
      <c r="C55" s="230" t="s">
        <v>39</v>
      </c>
      <c r="D55" s="15"/>
      <c r="E55" s="15"/>
      <c r="F55" s="225" t="str">
        <f>CONCATENATE(C2," County % Distribution (PROG/TOT PS) per BH Spreadsheet")</f>
        <v>San Mateo County % Distribution (PROG/TOT PS) per BH Spreadsheet</v>
      </c>
      <c r="G55" s="224" t="str">
        <f>CONCATENATE(C2," County Portion (Distribution to Programs)")</f>
        <v>San Mateo County Portion (Distribution to Programs)</v>
      </c>
    </row>
    <row r="56" spans="1:7" ht="4.5" customHeight="1" thickBot="1" x14ac:dyDescent="0.5">
      <c r="A56" s="203"/>
      <c r="B56" s="204"/>
      <c r="C56" s="205"/>
      <c r="F56" s="139"/>
      <c r="G56" s="140"/>
    </row>
    <row r="57" spans="1:7" x14ac:dyDescent="0.45">
      <c r="A57" s="206" t="s">
        <v>44</v>
      </c>
      <c r="B57" s="246">
        <v>0.18602922781854569</v>
      </c>
      <c r="C57" s="212">
        <f>C53*B57</f>
        <v>14491764.506469896</v>
      </c>
      <c r="F57" s="247">
        <v>0.2029597891992356</v>
      </c>
      <c r="G57" s="194">
        <f>F57*G53</f>
        <v>127102.10127979366</v>
      </c>
    </row>
    <row r="58" spans="1:7" ht="14.65" thickBot="1" x14ac:dyDescent="0.5">
      <c r="A58" s="207" t="s">
        <v>45</v>
      </c>
      <c r="B58" s="242">
        <v>0.81397077218145431</v>
      </c>
      <c r="C58" s="208">
        <f>C53*B58</f>
        <v>63408706.706608899</v>
      </c>
      <c r="F58" s="245">
        <v>0.79704021080076437</v>
      </c>
      <c r="G58" s="190">
        <f>F58*G53</f>
        <v>499140.67213491362</v>
      </c>
    </row>
    <row r="59" spans="1:7" ht="14.65" thickBot="1" x14ac:dyDescent="0.5">
      <c r="A59" s="198" t="s">
        <v>102</v>
      </c>
      <c r="B59" s="199">
        <f>SUM(B57:B58)</f>
        <v>1</v>
      </c>
      <c r="C59" s="200">
        <f>SUM(C57:C58)</f>
        <v>77900471.213078797</v>
      </c>
      <c r="F59" s="213">
        <f>SUM(F57:F58)</f>
        <v>1</v>
      </c>
      <c r="G59" s="214">
        <f>SUM(G57:G58)</f>
        <v>626242.77341470728</v>
      </c>
    </row>
    <row r="65" spans="1:7" x14ac:dyDescent="0.45">
      <c r="A65" s="734" t="s">
        <v>140</v>
      </c>
      <c r="B65" s="734"/>
      <c r="C65" s="734"/>
      <c r="D65" s="734"/>
      <c r="E65" s="734"/>
      <c r="F65" s="734"/>
      <c r="G65" s="734"/>
    </row>
    <row r="66" spans="1:7" x14ac:dyDescent="0.45">
      <c r="A66" s="733"/>
      <c r="B66" s="733"/>
      <c r="C66" s="733"/>
      <c r="D66" s="733"/>
      <c r="E66" s="733"/>
      <c r="F66" s="733"/>
      <c r="G66" s="733"/>
    </row>
    <row r="67" spans="1:7" x14ac:dyDescent="0.45">
      <c r="A67" s="16"/>
      <c r="B67" s="16"/>
      <c r="C67" s="16"/>
      <c r="D67" s="16"/>
      <c r="E67" s="16"/>
      <c r="F67" s="16"/>
      <c r="G67" s="16"/>
    </row>
    <row r="68" spans="1:7" x14ac:dyDescent="0.45">
      <c r="B68" s="339" t="s">
        <v>273</v>
      </c>
      <c r="C68" s="343">
        <f>B10*0.9</f>
        <v>63099381.68259383</v>
      </c>
      <c r="D68" s="16"/>
      <c r="E68" s="16"/>
      <c r="F68" s="339" t="s">
        <v>274</v>
      </c>
      <c r="G68" s="340">
        <f>B10*0.1</f>
        <v>7011042.4091770919</v>
      </c>
    </row>
    <row r="69" spans="1:7" ht="14.65" thickBot="1" x14ac:dyDescent="0.5">
      <c r="A69" s="16"/>
      <c r="B69" s="368"/>
      <c r="C69" s="16"/>
      <c r="D69" s="16"/>
      <c r="E69" s="16"/>
      <c r="F69" s="341"/>
    </row>
    <row r="70" spans="1:7" ht="15.75" customHeight="1" thickBot="1" x14ac:dyDescent="0.5">
      <c r="A70" s="16"/>
      <c r="B70" s="735" t="s">
        <v>277</v>
      </c>
      <c r="C70" s="736"/>
      <c r="D70" s="16"/>
      <c r="E70" s="16"/>
      <c r="F70" s="735" t="s">
        <v>278</v>
      </c>
      <c r="G70" s="736"/>
    </row>
    <row r="71" spans="1:7" ht="6" customHeight="1" thickBot="1" x14ac:dyDescent="0.5">
      <c r="A71" s="16"/>
      <c r="B71" s="333"/>
      <c r="C71" s="162"/>
      <c r="D71" s="16"/>
      <c r="E71" s="16"/>
      <c r="F71" s="333"/>
      <c r="G71" s="162"/>
    </row>
    <row r="72" spans="1:7" x14ac:dyDescent="0.45">
      <c r="A72" s="345"/>
      <c r="B72" s="453" t="s">
        <v>318</v>
      </c>
      <c r="C72" s="328"/>
      <c r="F72" s="453" t="s">
        <v>321</v>
      </c>
      <c r="G72" s="328"/>
    </row>
    <row r="73" spans="1:7" x14ac:dyDescent="0.4">
      <c r="A73" s="336" t="s">
        <v>177</v>
      </c>
      <c r="B73" s="559">
        <f>SUM('County One Time Input-BASE'!B73)/SUM('County One Time Input-BASE'!B$132-'County One Time Input-BASE'!B$131)</f>
        <v>4.1316668605258754E-2</v>
      </c>
      <c r="C73" s="328">
        <f>C$68*B73</f>
        <v>2607056.2421764638</v>
      </c>
      <c r="F73" s="559">
        <v>4.4014999999999999E-2</v>
      </c>
      <c r="G73" s="328">
        <f t="shared" ref="G73:G103" si="3">G$68*F73</f>
        <v>308591.03163992969</v>
      </c>
    </row>
    <row r="74" spans="1:7" x14ac:dyDescent="0.4">
      <c r="A74" s="326" t="s">
        <v>178</v>
      </c>
      <c r="B74" s="559">
        <f>SUM('County One Time Input-BASE'!B74)/SUM('County One Time Input-BASE'!B$132-'County One Time Input-BASE'!B$131)</f>
        <v>4.1798703762257772E-4</v>
      </c>
      <c r="C74" s="328">
        <f t="shared" ref="C74:C103" si="4">C$68*B74</f>
        <v>26374.723625323739</v>
      </c>
      <c r="F74" s="559">
        <v>6.3100000000000005E-4</v>
      </c>
      <c r="G74" s="328">
        <f t="shared" si="3"/>
        <v>4423.9677601907451</v>
      </c>
    </row>
    <row r="75" spans="1:7" x14ac:dyDescent="0.4">
      <c r="A75" s="326" t="s">
        <v>179</v>
      </c>
      <c r="B75" s="559">
        <f>SUM('County One Time Input-BASE'!B75)/SUM('County One Time Input-BASE'!B$132-'County One Time Input-BASE'!B$131)</f>
        <v>8.2286409897228455E-4</v>
      </c>
      <c r="C75" s="328">
        <f t="shared" si="4"/>
        <v>51922.215853955851</v>
      </c>
      <c r="F75" s="559">
        <v>8.1300000000000003E-4</v>
      </c>
      <c r="G75" s="328">
        <f t="shared" si="3"/>
        <v>5699.977478660976</v>
      </c>
    </row>
    <row r="76" spans="1:7" x14ac:dyDescent="0.4">
      <c r="A76" s="326" t="s">
        <v>180</v>
      </c>
      <c r="B76" s="559">
        <f>SUM('County One Time Input-BASE'!B76)/SUM('County One Time Input-BASE'!B$132-'County One Time Input-BASE'!B$131)</f>
        <v>8.8091836154966536E-3</v>
      </c>
      <c r="C76" s="328">
        <f t="shared" si="4"/>
        <v>555854.03926627524</v>
      </c>
      <c r="F76" s="559">
        <v>7.7400000000000004E-3</v>
      </c>
      <c r="G76" s="328">
        <f t="shared" si="3"/>
        <v>54265.468247030694</v>
      </c>
    </row>
    <row r="77" spans="1:7" x14ac:dyDescent="0.4">
      <c r="A77" s="326" t="s">
        <v>181</v>
      </c>
      <c r="B77" s="559">
        <f>SUM('County One Time Input-BASE'!B77)/SUM('County One Time Input-BASE'!B$132-'County One Time Input-BASE'!B$131)</f>
        <v>1.2990139725051531E-3</v>
      </c>
      <c r="C77" s="328">
        <f t="shared" si="4"/>
        <v>81966.978462125102</v>
      </c>
      <c r="F77" s="559">
        <v>1.462E-3</v>
      </c>
      <c r="G77" s="328">
        <f t="shared" si="3"/>
        <v>10250.144002216908</v>
      </c>
    </row>
    <row r="78" spans="1:7" x14ac:dyDescent="0.4">
      <c r="A78" s="326" t="s">
        <v>182</v>
      </c>
      <c r="B78" s="559">
        <f>SUM('County One Time Input-BASE'!B78)/SUM('County One Time Input-BASE'!B$132-'County One Time Input-BASE'!B$131)</f>
        <v>7.8056108729922041E-4</v>
      </c>
      <c r="C78" s="328">
        <f t="shared" si="4"/>
        <v>49252.92197407395</v>
      </c>
      <c r="F78" s="559">
        <v>7.9100000000000004E-4</v>
      </c>
      <c r="G78" s="328">
        <f t="shared" si="3"/>
        <v>5545.7345456590801</v>
      </c>
    </row>
    <row r="79" spans="1:7" x14ac:dyDescent="0.4">
      <c r="A79" s="326" t="s">
        <v>183</v>
      </c>
      <c r="B79" s="559">
        <f>SUM('County One Time Input-BASE'!B79)/SUM('County One Time Input-BASE'!B$132-'County One Time Input-BASE'!B$131)</f>
        <v>2.3061331056499813E-2</v>
      </c>
      <c r="C79" s="328">
        <f t="shared" si="4"/>
        <v>1455155.7304427365</v>
      </c>
      <c r="F79" s="559">
        <v>2.5316999999999999E-2</v>
      </c>
      <c r="G79" s="328">
        <f t="shared" si="3"/>
        <v>177498.56067313644</v>
      </c>
    </row>
    <row r="80" spans="1:7" x14ac:dyDescent="0.4">
      <c r="A80" s="326" t="s">
        <v>184</v>
      </c>
      <c r="B80" s="559">
        <f>SUM('County One Time Input-BASE'!B80)/SUM('County One Time Input-BASE'!B$132-'County One Time Input-BASE'!B$131)</f>
        <v>2.0708688990906557E-3</v>
      </c>
      <c r="C80" s="328">
        <f t="shared" si="4"/>
        <v>130670.54707833417</v>
      </c>
      <c r="F80" s="559">
        <v>2.1259999999999999E-3</v>
      </c>
      <c r="G80" s="328">
        <f t="shared" si="3"/>
        <v>14905.476161910496</v>
      </c>
    </row>
    <row r="81" spans="1:7" x14ac:dyDescent="0.4">
      <c r="A81" s="326" t="s">
        <v>185</v>
      </c>
      <c r="B81" s="559">
        <f>SUM('County One Time Input-BASE'!B81)/SUM('County One Time Input-BASE'!B$132-'County One Time Input-BASE'!B$131)</f>
        <v>3.7880221148252698E-3</v>
      </c>
      <c r="C81" s="328">
        <f t="shared" si="4"/>
        <v>239021.85324546596</v>
      </c>
      <c r="F81" s="559">
        <v>4.1520000000000003E-3</v>
      </c>
      <c r="G81" s="328">
        <f t="shared" si="3"/>
        <v>29109.848082903289</v>
      </c>
    </row>
    <row r="82" spans="1:7" x14ac:dyDescent="0.4">
      <c r="A82" s="326" t="s">
        <v>186</v>
      </c>
      <c r="B82" s="559">
        <f>SUM('County One Time Input-BASE'!B82)/SUM('County One Time Input-BASE'!B$132-'County One Time Input-BASE'!B$131)</f>
        <v>2.4094776686115194E-2</v>
      </c>
      <c r="C82" s="328">
        <f t="shared" si="4"/>
        <v>1520365.5106740459</v>
      </c>
      <c r="F82" s="559">
        <v>2.2138999999999999E-2</v>
      </c>
      <c r="G82" s="328">
        <f t="shared" si="3"/>
        <v>155217.46789677162</v>
      </c>
    </row>
    <row r="83" spans="1:7" x14ac:dyDescent="0.4">
      <c r="A83" s="326" t="s">
        <v>187</v>
      </c>
      <c r="B83" s="559">
        <f>SUM('County One Time Input-BASE'!B83)/SUM('County One Time Input-BASE'!B$132-'County One Time Input-BASE'!B$131)</f>
        <v>1.4895652452824304E-3</v>
      </c>
      <c r="C83" s="328">
        <f t="shared" si="4"/>
        <v>93990.645953202576</v>
      </c>
      <c r="F83" s="559">
        <v>1.8259999999999999E-3</v>
      </c>
      <c r="G83" s="328">
        <f t="shared" si="3"/>
        <v>12802.16343915737</v>
      </c>
    </row>
    <row r="84" spans="1:7" x14ac:dyDescent="0.4">
      <c r="A84" s="326" t="s">
        <v>188</v>
      </c>
      <c r="B84" s="559">
        <f>SUM('County One Time Input-BASE'!B84)/SUM('County One Time Input-BASE'!B$132-'County One Time Input-BASE'!B$131)</f>
        <v>5.7982421530932094E-3</v>
      </c>
      <c r="C84" s="328">
        <f t="shared" si="4"/>
        <v>365865.49470613309</v>
      </c>
      <c r="F84" s="559">
        <v>5.5909999999999996E-3</v>
      </c>
      <c r="G84" s="328">
        <f t="shared" si="3"/>
        <v>39198.73810970912</v>
      </c>
    </row>
    <row r="85" spans="1:7" x14ac:dyDescent="0.4">
      <c r="A85" s="326" t="s">
        <v>189</v>
      </c>
      <c r="B85" s="559">
        <f>SUM('County One Time Input-BASE'!B85)/SUM('County One Time Input-BASE'!B$132-'County One Time Input-BASE'!B$131)</f>
        <v>4.4909887837354476E-3</v>
      </c>
      <c r="C85" s="328">
        <f t="shared" si="4"/>
        <v>283378.61539717083</v>
      </c>
      <c r="F85" s="559">
        <v>5.9810000000000002E-3</v>
      </c>
      <c r="G85" s="328">
        <f t="shared" si="3"/>
        <v>41933.044649288189</v>
      </c>
    </row>
    <row r="86" spans="1:7" x14ac:dyDescent="0.4">
      <c r="A86" s="326" t="s">
        <v>190</v>
      </c>
      <c r="B86" s="559">
        <f>SUM('County One Time Input-BASE'!B86)/SUM('County One Time Input-BASE'!B$132-'County One Time Input-BASE'!B$131)</f>
        <v>7.6438670480776828E-4</v>
      </c>
      <c r="C86" s="328">
        <f t="shared" si="4"/>
        <v>48232.328439765552</v>
      </c>
      <c r="F86" s="559">
        <v>9.8499999999999998E-4</v>
      </c>
      <c r="G86" s="328">
        <f t="shared" si="3"/>
        <v>6905.8767730394356</v>
      </c>
    </row>
    <row r="87" spans="1:7" x14ac:dyDescent="0.4">
      <c r="A87" s="326" t="s">
        <v>191</v>
      </c>
      <c r="B87" s="559">
        <f>SUM('County One Time Input-BASE'!B87)/SUM('County One Time Input-BASE'!B$132-'County One Time Input-BASE'!B$131)</f>
        <v>2.9109870256592174E-2</v>
      </c>
      <c r="C87" s="328">
        <f t="shared" si="4"/>
        <v>1836814.8140514952</v>
      </c>
      <c r="F87" s="559">
        <v>2.6123E-2</v>
      </c>
      <c r="G87" s="328">
        <f t="shared" si="3"/>
        <v>183149.46085493316</v>
      </c>
    </row>
    <row r="88" spans="1:7" x14ac:dyDescent="0.4">
      <c r="A88" s="326" t="s">
        <v>192</v>
      </c>
      <c r="B88" s="559">
        <f>SUM('County One Time Input-BASE'!B88)/SUM('County One Time Input-BASE'!B$132-'County One Time Input-BASE'!B$131)</f>
        <v>3.8026338530860546E-3</v>
      </c>
      <c r="C88" s="328">
        <f t="shared" si="4"/>
        <v>239943.84489502938</v>
      </c>
      <c r="F88" s="559">
        <v>4.2059999999999997E-3</v>
      </c>
      <c r="G88" s="328">
        <f t="shared" si="3"/>
        <v>29488.444372998845</v>
      </c>
    </row>
    <row r="89" spans="1:7" x14ac:dyDescent="0.4">
      <c r="A89" s="326" t="s">
        <v>193</v>
      </c>
      <c r="B89" s="559">
        <f>SUM('County One Time Input-BASE'!B89)/SUM('County One Time Input-BASE'!B$132-'County One Time Input-BASE'!B$131)</f>
        <v>2.4207287070723239E-3</v>
      </c>
      <c r="C89" s="328">
        <f t="shared" si="4"/>
        <v>152746.48463756844</v>
      </c>
      <c r="F89" s="559">
        <v>1.797E-3</v>
      </c>
      <c r="G89" s="328">
        <f t="shared" si="3"/>
        <v>12598.843209291234</v>
      </c>
    </row>
    <row r="90" spans="1:7" x14ac:dyDescent="0.4">
      <c r="A90" s="326" t="s">
        <v>194</v>
      </c>
      <c r="B90" s="559">
        <f>SUM('County One Time Input-BASE'!B90)/SUM('County One Time Input-BASE'!B$132-'County One Time Input-BASE'!B$131)</f>
        <v>1.7754479631708704E-3</v>
      </c>
      <c r="C90" s="328">
        <f t="shared" si="4"/>
        <v>112029.66868570255</v>
      </c>
      <c r="F90" s="559">
        <v>1.364E-3</v>
      </c>
      <c r="G90" s="328">
        <f t="shared" si="3"/>
        <v>9563.0618461175527</v>
      </c>
    </row>
    <row r="91" spans="1:7" x14ac:dyDescent="0.4">
      <c r="A91" s="326" t="s">
        <v>195</v>
      </c>
      <c r="B91" s="559">
        <f>SUM('County One Time Input-BASE'!B91)/SUM('County One Time Input-BASE'!B$132-'County One Time Input-BASE'!B$131)</f>
        <v>0.32331662146210877</v>
      </c>
      <c r="C91" s="328">
        <f t="shared" si="4"/>
        <v>20401078.901964311</v>
      </c>
      <c r="F91" s="559">
        <v>0.32285000000000003</v>
      </c>
      <c r="G91" s="328">
        <f t="shared" si="3"/>
        <v>2263515.0418028245</v>
      </c>
    </row>
    <row r="92" spans="1:7" x14ac:dyDescent="0.4">
      <c r="A92" s="326" t="s">
        <v>196</v>
      </c>
      <c r="B92" s="559">
        <f>SUM('County One Time Input-BASE'!B92)/SUM('County One Time Input-BASE'!B$132-'County One Time Input-BASE'!B$131)</f>
        <v>3.3379196941503422E-3</v>
      </c>
      <c r="C92" s="328">
        <f t="shared" si="4"/>
        <v>210620.6688070393</v>
      </c>
      <c r="F92" s="559">
        <v>3.7780000000000001E-3</v>
      </c>
      <c r="G92" s="328">
        <f t="shared" si="3"/>
        <v>26487.718221871055</v>
      </c>
    </row>
    <row r="93" spans="1:7" x14ac:dyDescent="0.4">
      <c r="A93" s="326" t="s">
        <v>197</v>
      </c>
      <c r="B93" s="559">
        <f>SUM('County One Time Input-BASE'!B93)/SUM('County One Time Input-BASE'!B$132-'County One Time Input-BASE'!B$131)</f>
        <v>3.221756374977102E-3</v>
      </c>
      <c r="C93" s="328">
        <f t="shared" si="4"/>
        <v>203290.83519301005</v>
      </c>
      <c r="F93" s="559">
        <v>3.0379999999999999E-3</v>
      </c>
      <c r="G93" s="328">
        <f t="shared" si="3"/>
        <v>21299.546839080005</v>
      </c>
    </row>
    <row r="94" spans="1:7" x14ac:dyDescent="0.4">
      <c r="A94" s="326" t="s">
        <v>198</v>
      </c>
      <c r="B94" s="559">
        <f>SUM('County One Time Input-BASE'!B94)/SUM('County One Time Input-BASE'!B$132-'County One Time Input-BASE'!B$131)</f>
        <v>9.3307110539616277E-4</v>
      </c>
      <c r="C94" s="328">
        <f t="shared" si="4"/>
        <v>58876.209816392213</v>
      </c>
      <c r="F94" s="559">
        <v>1.088E-3</v>
      </c>
      <c r="G94" s="328">
        <f t="shared" si="3"/>
        <v>7628.0141411846762</v>
      </c>
    </row>
    <row r="95" spans="1:7" x14ac:dyDescent="0.4">
      <c r="A95" s="326" t="s">
        <v>199</v>
      </c>
      <c r="B95" s="559">
        <f>SUM('County One Time Input-BASE'!B95)/SUM('County One Time Input-BASE'!B$132-'County One Time Input-BASE'!B$131)</f>
        <v>5.2003176470133408E-3</v>
      </c>
      <c r="C95" s="328">
        <f t="shared" si="4"/>
        <v>328136.82807962305</v>
      </c>
      <c r="F95" s="559">
        <v>5.4549999999999998E-3</v>
      </c>
      <c r="G95" s="328">
        <f t="shared" si="3"/>
        <v>38245.236342061035</v>
      </c>
    </row>
    <row r="96" spans="1:7" x14ac:dyDescent="0.4">
      <c r="A96" s="326" t="s">
        <v>200</v>
      </c>
      <c r="B96" s="559">
        <f>SUM('County One Time Input-BASE'!B96)/SUM('County One Time Input-BASE'!B$132-'County One Time Input-BASE'!B$131)</f>
        <v>7.242734244657302E-3</v>
      </c>
      <c r="C96" s="328">
        <f t="shared" si="4"/>
        <v>457012.05252922402</v>
      </c>
      <c r="F96" s="559">
        <v>7.3299999999999997E-3</v>
      </c>
      <c r="G96" s="328">
        <f t="shared" si="3"/>
        <v>51390.940859268085</v>
      </c>
    </row>
    <row r="97" spans="1:7" x14ac:dyDescent="0.4">
      <c r="A97" s="326" t="s">
        <v>201</v>
      </c>
      <c r="B97" s="559">
        <f>SUM('County One Time Input-BASE'!B97)/SUM('County One Time Input-BASE'!B$132-'County One Time Input-BASE'!B$131)</f>
        <v>5.1609877181947291E-4</v>
      </c>
      <c r="C97" s="328">
        <f t="shared" si="4"/>
        <v>32565.51338895482</v>
      </c>
      <c r="F97" s="559">
        <v>6.8999999999999997E-4</v>
      </c>
      <c r="G97" s="328">
        <f t="shared" si="3"/>
        <v>4837.6192623321931</v>
      </c>
    </row>
    <row r="98" spans="1:7" x14ac:dyDescent="0.4">
      <c r="A98" s="326" t="s">
        <v>202</v>
      </c>
      <c r="B98" s="559">
        <f>SUM('County One Time Input-BASE'!B98)/SUM('County One Time Input-BASE'!B$132-'County One Time Input-BASE'!B$131)</f>
        <v>5.403907866780277E-4</v>
      </c>
      <c r="C98" s="328">
        <f t="shared" si="4"/>
        <v>34098.324506354009</v>
      </c>
      <c r="F98" s="559">
        <v>7.0600000000000003E-4</v>
      </c>
      <c r="G98" s="328">
        <f t="shared" si="3"/>
        <v>4949.7959408790275</v>
      </c>
    </row>
    <row r="99" spans="1:7" x14ac:dyDescent="0.4">
      <c r="A99" s="326" t="s">
        <v>203</v>
      </c>
      <c r="B99" s="559">
        <f>SUM('County One Time Input-BASE'!B99)/SUM('County One Time Input-BASE'!B$132-'County One Time Input-BASE'!B$131)</f>
        <v>8.2031719181710604E-3</v>
      </c>
      <c r="C99" s="328">
        <f t="shared" si="4"/>
        <v>517615.07587261108</v>
      </c>
      <c r="F99" s="559">
        <v>7.2040000000000003E-3</v>
      </c>
      <c r="G99" s="328">
        <f t="shared" si="3"/>
        <v>50507.549515711769</v>
      </c>
    </row>
    <row r="100" spans="1:7" x14ac:dyDescent="0.4">
      <c r="A100" s="326" t="s">
        <v>204</v>
      </c>
      <c r="B100" s="559">
        <f>SUM('County One Time Input-BASE'!B100)/SUM('County One Time Input-BASE'!B$132-'County One Time Input-BASE'!B$131)</f>
        <v>2.9185526590253569E-3</v>
      </c>
      <c r="C100" s="328">
        <f t="shared" si="4"/>
        <v>184158.86819259013</v>
      </c>
      <c r="F100" s="559">
        <v>2.8479999999999998E-3</v>
      </c>
      <c r="G100" s="328">
        <f t="shared" si="3"/>
        <v>19967.448781336356</v>
      </c>
    </row>
    <row r="101" spans="1:7" x14ac:dyDescent="0.4">
      <c r="A101" s="326" t="s">
        <v>205</v>
      </c>
      <c r="B101" s="559">
        <f>SUM('County One Time Input-BASE'!B101)/SUM('County One Time Input-BASE'!B$132-'County One Time Input-BASE'!B$131)</f>
        <v>1.7174982151102159E-3</v>
      </c>
      <c r="C101" s="328">
        <f t="shared" si="4"/>
        <v>108373.07541441315</v>
      </c>
      <c r="F101" s="559">
        <v>1.4940000000000001E-3</v>
      </c>
      <c r="G101" s="328">
        <f t="shared" si="3"/>
        <v>10474.497359310575</v>
      </c>
    </row>
    <row r="102" spans="1:7" x14ac:dyDescent="0.4">
      <c r="A102" s="326" t="s">
        <v>206</v>
      </c>
      <c r="B102" s="559">
        <f>SUM('County One Time Input-BASE'!B102)/SUM('County One Time Input-BASE'!B$132-'County One Time Input-BASE'!B$131)</f>
        <v>5.1606741746445493E-2</v>
      </c>
      <c r="C102" s="328">
        <f t="shared" si="4"/>
        <v>3256353.494854013</v>
      </c>
      <c r="F102" s="559">
        <v>5.3605E-2</v>
      </c>
      <c r="G102" s="328">
        <f t="shared" si="3"/>
        <v>375826.92834393802</v>
      </c>
    </row>
    <row r="103" spans="1:7" x14ac:dyDescent="0.4">
      <c r="A103" s="326" t="s">
        <v>207</v>
      </c>
      <c r="B103" s="559">
        <f>SUM('County One Time Input-BASE'!B103)/SUM('County One Time Input-BASE'!B$132-'County One Time Input-BASE'!B$131)</f>
        <v>8.5531839317596111E-3</v>
      </c>
      <c r="C103" s="328">
        <f t="shared" si="4"/>
        <v>539700.61751152831</v>
      </c>
      <c r="F103" s="559">
        <v>9.3290000000000005E-3</v>
      </c>
      <c r="G103" s="328">
        <f t="shared" si="3"/>
        <v>65406.014635213091</v>
      </c>
    </row>
    <row r="104" spans="1:7" x14ac:dyDescent="0.4">
      <c r="A104" s="326" t="s">
        <v>208</v>
      </c>
      <c r="B104" s="559">
        <f>SUM('County One Time Input-BASE'!B104)/SUM('County One Time Input-BASE'!B$132-'County One Time Input-BASE'!B$131)</f>
        <v>1.0190063910424038E-3</v>
      </c>
      <c r="C104" s="328">
        <f t="shared" ref="C104:C131" si="5">C$68*B104</f>
        <v>64298.673205387102</v>
      </c>
      <c r="F104" s="559">
        <v>1.091E-3</v>
      </c>
      <c r="G104" s="328">
        <f t="shared" ref="G104:G131" si="6">G$68*F104</f>
        <v>7649.0472684122069</v>
      </c>
    </row>
    <row r="105" spans="1:7" x14ac:dyDescent="0.4">
      <c r="A105" s="326" t="s">
        <v>209</v>
      </c>
      <c r="B105" s="559">
        <f>SUM('County One Time Input-BASE'!B105)/SUM('County One Time Input-BASE'!B$132-'County One Time Input-BASE'!B$131)</f>
        <v>5.548535663848763E-2</v>
      </c>
      <c r="C105" s="328">
        <f t="shared" si="5"/>
        <v>3501091.6963267722</v>
      </c>
      <c r="F105" s="559">
        <v>5.9105999999999999E-2</v>
      </c>
      <c r="G105" s="328">
        <f t="shared" si="6"/>
        <v>414394.67263682117</v>
      </c>
    </row>
    <row r="106" spans="1:7" x14ac:dyDescent="0.4">
      <c r="A106" s="326" t="s">
        <v>210</v>
      </c>
      <c r="B106" s="559">
        <f>SUM('County One Time Input-BASE'!B106)/SUM('County One Time Input-BASE'!B$132-'County One Time Input-BASE'!B$131)</f>
        <v>5.181696813067254E-2</v>
      </c>
      <c r="C106" s="328">
        <f t="shared" si="5"/>
        <v>3269618.6497121071</v>
      </c>
      <c r="F106" s="559">
        <v>4.9631000000000002E-2</v>
      </c>
      <c r="G106" s="328">
        <f t="shared" si="6"/>
        <v>347965.04580986826</v>
      </c>
    </row>
    <row r="107" spans="1:7" x14ac:dyDescent="0.4">
      <c r="A107" s="326" t="s">
        <v>211</v>
      </c>
      <c r="B107" s="559">
        <f>SUM('County One Time Input-BASE'!B107)/SUM('County One Time Input-BASE'!B$132-'County One Time Input-BASE'!B$131)</f>
        <v>1.1544389400470537E-3</v>
      </c>
      <c r="C107" s="328">
        <f t="shared" si="5"/>
        <v>72844.383307278098</v>
      </c>
      <c r="F107" s="559">
        <v>1.372E-3</v>
      </c>
      <c r="G107" s="328">
        <f t="shared" si="6"/>
        <v>9619.1501853909704</v>
      </c>
    </row>
    <row r="108" spans="1:7" x14ac:dyDescent="0.4">
      <c r="A108" s="326" t="s">
        <v>212</v>
      </c>
      <c r="B108" s="559">
        <f>SUM('County One Time Input-BASE'!B108)/SUM('County One Time Input-BASE'!B$132-'County One Time Input-BASE'!B$131)</f>
        <v>5.3582553170517376E-2</v>
      </c>
      <c r="C108" s="328">
        <f t="shared" si="5"/>
        <v>3381025.9740343541</v>
      </c>
      <c r="F108" s="559">
        <v>4.4485999999999998E-2</v>
      </c>
      <c r="G108" s="328">
        <f t="shared" si="6"/>
        <v>311893.23261465208</v>
      </c>
    </row>
    <row r="109" spans="1:7" x14ac:dyDescent="0.4">
      <c r="A109" s="326" t="s">
        <v>213</v>
      </c>
      <c r="B109" s="559">
        <f>SUM('County One Time Input-BASE'!B109)/SUM('County One Time Input-BASE'!B$132-'County One Time Input-BASE'!B$131)</f>
        <v>7.2092977169372074E-2</v>
      </c>
      <c r="C109" s="328">
        <f t="shared" si="5"/>
        <v>4549022.2830447312</v>
      </c>
      <c r="F109" s="559">
        <v>7.8876000000000002E-2</v>
      </c>
      <c r="G109" s="328">
        <f t="shared" si="6"/>
        <v>553002.98106625234</v>
      </c>
    </row>
    <row r="110" spans="1:7" x14ac:dyDescent="0.4">
      <c r="A110" s="326" t="s">
        <v>214</v>
      </c>
      <c r="B110" s="559">
        <f>SUM('County One Time Input-BASE'!B110)/SUM('County One Time Input-BASE'!B$132-'County One Time Input-BASE'!B$131)</f>
        <v>2.2190988955220432E-2</v>
      </c>
      <c r="C110" s="328">
        <f t="shared" si="5"/>
        <v>1400237.681999678</v>
      </c>
      <c r="F110" s="559">
        <v>1.9869999999999999E-2</v>
      </c>
      <c r="G110" s="328">
        <f t="shared" si="6"/>
        <v>139309.4126703488</v>
      </c>
    </row>
    <row r="111" spans="1:7" x14ac:dyDescent="0.4">
      <c r="A111" s="326" t="s">
        <v>215</v>
      </c>
      <c r="B111" s="559">
        <f>SUM('County One Time Input-BASE'!B111)/SUM('County One Time Input-BASE'!B$132-'County One Time Input-BASE'!B$131)</f>
        <v>1.9625695362730466E-2</v>
      </c>
      <c r="C111" s="328">
        <f t="shared" si="5"/>
        <v>1238369.2424792415</v>
      </c>
      <c r="F111" s="559">
        <v>1.7214E-2</v>
      </c>
      <c r="G111" s="328">
        <f t="shared" si="6"/>
        <v>120688.08403157446</v>
      </c>
    </row>
    <row r="112" spans="1:7" x14ac:dyDescent="0.4">
      <c r="A112" s="326" t="s">
        <v>216</v>
      </c>
      <c r="B112" s="559">
        <f>SUM('County One Time Input-BASE'!B112)/SUM('County One Time Input-BASE'!B$132-'County One Time Input-BASE'!B$131)</f>
        <v>8.0659433430051893E-3</v>
      </c>
      <c r="C112" s="328">
        <f t="shared" si="5"/>
        <v>508956.03763046127</v>
      </c>
      <c r="F112" s="559">
        <v>8.6979999999999991E-3</v>
      </c>
      <c r="G112" s="328">
        <f t="shared" si="6"/>
        <v>60982.046875022337</v>
      </c>
    </row>
    <row r="113" spans="1:7" x14ac:dyDescent="0.4">
      <c r="A113" s="336" t="s">
        <v>176</v>
      </c>
      <c r="B113" s="559">
        <f>SUM('County One Time Input-BASE'!B113)/SUM('County One Time Input-BASE'!B$132-'County One Time Input-BASE'!B$131)</f>
        <v>1.0239885879077131E-2</v>
      </c>
      <c r="C113" s="328">
        <f t="shared" si="5"/>
        <v>646130.46747009072</v>
      </c>
      <c r="D113" s="338"/>
      <c r="E113" s="338"/>
      <c r="F113" s="559">
        <v>1.1945000000000001E-2</v>
      </c>
      <c r="G113" s="328">
        <f t="shared" si="6"/>
        <v>83746.901577620374</v>
      </c>
    </row>
    <row r="114" spans="1:7" x14ac:dyDescent="0.4">
      <c r="A114" s="336" t="s">
        <v>217</v>
      </c>
      <c r="B114" s="559">
        <f>SUM('County One Time Input-BASE'!B114)/SUM('County One Time Input-BASE'!B$132-'County One Time Input-BASE'!B$131)</f>
        <v>7.663734953296167E-3</v>
      </c>
      <c r="C114" s="328">
        <f t="shared" si="5"/>
        <v>483576.93693227024</v>
      </c>
      <c r="D114" s="338"/>
      <c r="E114" s="338"/>
      <c r="F114" s="559">
        <v>6.875E-3</v>
      </c>
      <c r="G114" s="328">
        <f t="shared" si="6"/>
        <v>48200.916563092505</v>
      </c>
    </row>
    <row r="115" spans="1:7" x14ac:dyDescent="0.4">
      <c r="A115" s="336" t="s">
        <v>218</v>
      </c>
      <c r="B115" s="559">
        <f>SUM('County One Time Input-BASE'!B115)/SUM('County One Time Input-BASE'!B$132-'County One Time Input-BASE'!B$131)</f>
        <v>3.8293905840720711E-2</v>
      </c>
      <c r="C115" s="328">
        <f t="shared" si="5"/>
        <v>2416321.7807609453</v>
      </c>
      <c r="D115" s="338"/>
      <c r="E115" s="338"/>
      <c r="F115" s="559">
        <v>4.4380000000000003E-2</v>
      </c>
      <c r="G115" s="328">
        <f t="shared" si="6"/>
        <v>311150.06211927935</v>
      </c>
    </row>
    <row r="116" spans="1:7" x14ac:dyDescent="0.4">
      <c r="A116" s="336" t="s">
        <v>219</v>
      </c>
      <c r="B116" s="559">
        <f>SUM('County One Time Input-BASE'!B116)/SUM('County One Time Input-BASE'!B$132-'County One Time Input-BASE'!B$131)</f>
        <v>5.8079630178528158E-3</v>
      </c>
      <c r="C116" s="328">
        <f t="shared" si="5"/>
        <v>366478.87526188436</v>
      </c>
      <c r="D116" s="338"/>
      <c r="E116" s="338"/>
      <c r="F116" s="559">
        <v>4.888E-3</v>
      </c>
      <c r="G116" s="328">
        <f t="shared" si="6"/>
        <v>34269.975296057622</v>
      </c>
    </row>
    <row r="117" spans="1:7" x14ac:dyDescent="0.4">
      <c r="A117" s="326" t="s">
        <v>220</v>
      </c>
      <c r="B117" s="559">
        <f>SUM('County One Time Input-BASE'!B117)/SUM('County One Time Input-BASE'!B$132-'County One Time Input-BASE'!B$131)</f>
        <v>6.7735959760815189E-3</v>
      </c>
      <c r="C117" s="328">
        <f t="shared" si="5"/>
        <v>427409.71785844944</v>
      </c>
      <c r="F117" s="559">
        <v>4.9690000000000003E-3</v>
      </c>
      <c r="G117" s="328">
        <f t="shared" si="6"/>
        <v>34837.869731200975</v>
      </c>
    </row>
    <row r="118" spans="1:7" x14ac:dyDescent="0.4">
      <c r="A118" s="326" t="s">
        <v>221</v>
      </c>
      <c r="B118" s="559">
        <f>SUM('County One Time Input-BASE'!B118)/SUM('County One Time Input-BASE'!B$132-'County One Time Input-BASE'!B$131)</f>
        <v>4.2318232233752346E-4</v>
      </c>
      <c r="C118" s="328">
        <f t="shared" si="5"/>
        <v>26702.542878501845</v>
      </c>
      <c r="F118" s="559">
        <v>6.1600000000000001E-4</v>
      </c>
      <c r="G118" s="328">
        <f t="shared" si="6"/>
        <v>4318.8021240530888</v>
      </c>
    </row>
    <row r="119" spans="1:7" x14ac:dyDescent="0.4">
      <c r="A119" s="326" t="s">
        <v>222</v>
      </c>
      <c r="B119" s="559">
        <f>SUM('County One Time Input-BASE'!B119)/SUM('County One Time Input-BASE'!B$132-'County One Time Input-BASE'!B$131)</f>
        <v>1.7743114946394759E-3</v>
      </c>
      <c r="C119" s="328">
        <f t="shared" si="5"/>
        <v>111957.95822406982</v>
      </c>
      <c r="F119" s="559">
        <v>1.603E-3</v>
      </c>
      <c r="G119" s="328">
        <f t="shared" si="6"/>
        <v>11238.700981910879</v>
      </c>
    </row>
    <row r="120" spans="1:7" x14ac:dyDescent="0.4">
      <c r="A120" s="326" t="s">
        <v>223</v>
      </c>
      <c r="B120" s="559">
        <f>SUM('County One Time Input-BASE'!B120)/SUM('County One Time Input-BASE'!B$132-'County One Time Input-BASE'!B$131)</f>
        <v>6.5792801512939971E-3</v>
      </c>
      <c r="C120" s="328">
        <f t="shared" si="5"/>
        <v>415148.50946321362</v>
      </c>
      <c r="F120" s="559">
        <v>6.6080000000000002E-3</v>
      </c>
      <c r="G120" s="328">
        <f t="shared" si="6"/>
        <v>46328.968239842223</v>
      </c>
    </row>
    <row r="121" spans="1:7" x14ac:dyDescent="0.4">
      <c r="A121" s="326" t="s">
        <v>224</v>
      </c>
      <c r="B121" s="559">
        <f>SUM('County One Time Input-BASE'!B121)/SUM('County One Time Input-BASE'!B$132-'County One Time Input-BASE'!B$131)</f>
        <v>1.1653399056120268E-2</v>
      </c>
      <c r="C121" s="328">
        <f t="shared" si="5"/>
        <v>735322.27494171145</v>
      </c>
      <c r="F121" s="559">
        <v>9.6819999999999996E-3</v>
      </c>
      <c r="G121" s="328">
        <f t="shared" si="6"/>
        <v>67880.9126056526</v>
      </c>
    </row>
    <row r="122" spans="1:7" x14ac:dyDescent="0.4">
      <c r="A122" s="326" t="s">
        <v>225</v>
      </c>
      <c r="B122" s="559">
        <f>SUM('County One Time Input-BASE'!B122)/SUM('County One Time Input-BASE'!B$132-'County One Time Input-BASE'!B$131)</f>
        <v>1.1122242076259821E-2</v>
      </c>
      <c r="C122" s="328">
        <f t="shared" si="5"/>
        <v>701806.59793612326</v>
      </c>
      <c r="F122" s="559">
        <v>1.2472E-2</v>
      </c>
      <c r="G122" s="328">
        <f t="shared" si="6"/>
        <v>87441.720927256698</v>
      </c>
    </row>
    <row r="123" spans="1:7" x14ac:dyDescent="0.4">
      <c r="A123" s="326" t="s">
        <v>226</v>
      </c>
      <c r="B123" s="559">
        <f>SUM('County One Time Input-BASE'!B123)/SUM('County One Time Input-BASE'!B$132-'County One Time Input-BASE'!B$131)</f>
        <v>3.1967743613673435E-3</v>
      </c>
      <c r="C123" s="328">
        <f t="shared" si="5"/>
        <v>201714.48558104815</v>
      </c>
      <c r="F123" s="559">
        <v>2.9550000000000002E-3</v>
      </c>
      <c r="G123" s="328">
        <f t="shared" si="6"/>
        <v>20717.630319118307</v>
      </c>
    </row>
    <row r="124" spans="1:7" x14ac:dyDescent="0.4">
      <c r="A124" s="326" t="s">
        <v>227</v>
      </c>
      <c r="B124" s="559">
        <f>SUM('County One Time Input-BASE'!B124)/SUM('County One Time Input-BASE'!B$132-'County One Time Input-BASE'!B$131)</f>
        <v>3.0723412042201179E-3</v>
      </c>
      <c r="C124" s="328">
        <f t="shared" si="5"/>
        <v>193862.83030424517</v>
      </c>
      <c r="F124" s="559">
        <v>2.8609999999999998E-3</v>
      </c>
      <c r="G124" s="328">
        <f t="shared" si="6"/>
        <v>20058.592332655659</v>
      </c>
    </row>
    <row r="125" spans="1:7" x14ac:dyDescent="0.4">
      <c r="A125" s="326" t="s">
        <v>228</v>
      </c>
      <c r="B125" s="559">
        <f>SUM('County One Time Input-BASE'!B125)/SUM('County One Time Input-BASE'!B$132-'County One Time Input-BASE'!B$131)</f>
        <v>1.1603749587154977E-3</v>
      </c>
      <c r="C125" s="328">
        <f t="shared" si="5"/>
        <v>73218.942414913239</v>
      </c>
      <c r="F125" s="559">
        <v>1.588E-3</v>
      </c>
      <c r="G125" s="328">
        <f t="shared" si="6"/>
        <v>11133.535345773222</v>
      </c>
    </row>
    <row r="126" spans="1:7" x14ac:dyDescent="0.4">
      <c r="A126" s="326" t="s">
        <v>229</v>
      </c>
      <c r="B126" s="559">
        <f>SUM('County One Time Input-BASE'!B126)/SUM('County One Time Input-BASE'!B$132-'County One Time Input-BASE'!B$131)</f>
        <v>1.2003695186841669E-2</v>
      </c>
      <c r="C126" s="328">
        <f t="shared" si="5"/>
        <v>757425.74419603695</v>
      </c>
      <c r="F126" s="559">
        <v>1.2609E-2</v>
      </c>
      <c r="G126" s="328">
        <f t="shared" si="6"/>
        <v>88402.23373731396</v>
      </c>
    </row>
    <row r="127" spans="1:7" x14ac:dyDescent="0.4">
      <c r="A127" s="326" t="s">
        <v>230</v>
      </c>
      <c r="B127" s="559">
        <f>SUM('County One Time Input-BASE'!B127)/SUM('County One Time Input-BASE'!B$132-'County One Time Input-BASE'!B$131)</f>
        <v>1.7374574436928296E-3</v>
      </c>
      <c r="C127" s="328">
        <f t="shared" si="5"/>
        <v>109632.49039683763</v>
      </c>
      <c r="F127" s="559">
        <v>1.505E-3</v>
      </c>
      <c r="G127" s="328">
        <f t="shared" si="6"/>
        <v>10551.618825811523</v>
      </c>
    </row>
    <row r="128" spans="1:7" x14ac:dyDescent="0.4">
      <c r="A128" s="326" t="s">
        <v>231</v>
      </c>
      <c r="B128" s="559">
        <f>SUM('County One Time Input-BASE'!B128)/SUM('County One Time Input-BASE'!B$132-'County One Time Input-BASE'!B$131)</f>
        <v>1.136850060115634E-2</v>
      </c>
      <c r="C128" s="328">
        <f t="shared" si="5"/>
        <v>717345.35859116132</v>
      </c>
      <c r="F128" s="559">
        <v>1.0447E-2</v>
      </c>
      <c r="G128" s="328">
        <f t="shared" si="6"/>
        <v>73244.360048673072</v>
      </c>
    </row>
    <row r="129" spans="1:7" x14ac:dyDescent="0.4">
      <c r="A129" s="326" t="s">
        <v>232</v>
      </c>
      <c r="B129" s="559">
        <f>SUM('County One Time Input-BASE'!B129)/SUM('County One Time Input-BASE'!B$132-'County One Time Input-BASE'!B$131)</f>
        <v>4.9628464591542102E-3</v>
      </c>
      <c r="C129" s="328">
        <f t="shared" si="5"/>
        <v>313152.54295828083</v>
      </c>
      <c r="F129" s="559">
        <v>3.336E-3</v>
      </c>
      <c r="G129" s="328">
        <f t="shared" si="6"/>
        <v>23388.837477014778</v>
      </c>
    </row>
    <row r="130" spans="1:7" x14ac:dyDescent="0.4">
      <c r="A130" s="326" t="s">
        <v>233</v>
      </c>
      <c r="B130" s="559">
        <f>SUM('County One Time Input-BASE'!B130)/SUM('County One Time Input-BASE'!B$132-'County One Time Input-BASE'!B$131)</f>
        <v>3.7113815182393613E-3</v>
      </c>
      <c r="C130" s="328">
        <f t="shared" si="5"/>
        <v>234185.87898911003</v>
      </c>
      <c r="F130" s="559">
        <v>3.8430000000000001E-3</v>
      </c>
      <c r="G130" s="328">
        <f t="shared" si="6"/>
        <v>26943.435978467565</v>
      </c>
    </row>
    <row r="131" spans="1:7" x14ac:dyDescent="0.4">
      <c r="A131" s="326" t="s">
        <v>135</v>
      </c>
      <c r="B131" s="331">
        <v>0</v>
      </c>
      <c r="C131" s="332">
        <f t="shared" si="5"/>
        <v>0</v>
      </c>
      <c r="F131" s="327">
        <v>0</v>
      </c>
      <c r="G131" s="328">
        <f t="shared" si="6"/>
        <v>0</v>
      </c>
    </row>
    <row r="132" spans="1:7" ht="14.65" thickBot="1" x14ac:dyDescent="0.45">
      <c r="A132" s="326" t="s">
        <v>136</v>
      </c>
      <c r="B132" s="352">
        <f>SUM(B72:B131)</f>
        <v>0.99999999999999989</v>
      </c>
      <c r="C132" s="330">
        <f>SUM(C72:C131)</f>
        <v>63099381.68259383</v>
      </c>
      <c r="F132" s="353">
        <f>SUM(F72:F131)</f>
        <v>0.99999999999999978</v>
      </c>
      <c r="G132" s="335">
        <f>SUM(G72:G131)</f>
        <v>7011042.4091770938</v>
      </c>
    </row>
    <row r="140" spans="1:7" x14ac:dyDescent="0.45">
      <c r="A140" s="734" t="s">
        <v>140</v>
      </c>
      <c r="B140" s="734"/>
      <c r="C140" s="734"/>
      <c r="D140" s="734"/>
      <c r="E140" s="734"/>
      <c r="F140" s="734"/>
      <c r="G140" s="734"/>
    </row>
    <row r="141" spans="1:7" x14ac:dyDescent="0.45">
      <c r="A141" s="733"/>
      <c r="B141" s="733"/>
      <c r="C141" s="733"/>
      <c r="D141" s="733"/>
      <c r="E141" s="733"/>
      <c r="F141" s="733"/>
      <c r="G141" s="733"/>
    </row>
    <row r="142" spans="1:7" x14ac:dyDescent="0.45">
      <c r="A142" s="16"/>
      <c r="B142" s="16"/>
      <c r="C142" s="16"/>
      <c r="D142" s="16"/>
      <c r="E142" s="16"/>
      <c r="F142" s="16"/>
      <c r="G142" s="16"/>
    </row>
    <row r="143" spans="1:7" x14ac:dyDescent="0.45">
      <c r="B143" s="339"/>
      <c r="C143" s="343">
        <f>B13</f>
        <v>0</v>
      </c>
      <c r="D143" s="16"/>
      <c r="E143" s="16"/>
      <c r="F143" s="295" t="s">
        <v>84</v>
      </c>
      <c r="G143" s="340">
        <f>B14</f>
        <v>77900471.213078797</v>
      </c>
    </row>
    <row r="144" spans="1:7" ht="14.65" thickBot="1" x14ac:dyDescent="0.5">
      <c r="A144" s="16"/>
      <c r="B144" s="368"/>
      <c r="C144" s="16"/>
      <c r="D144" s="16"/>
      <c r="E144" s="16"/>
      <c r="F144" s="341" t="s">
        <v>138</v>
      </c>
    </row>
    <row r="145" spans="1:7" ht="14.65" thickBot="1" x14ac:dyDescent="0.5">
      <c r="A145" s="16"/>
      <c r="B145" s="735"/>
      <c r="C145" s="736"/>
      <c r="D145" s="16"/>
      <c r="E145" s="16"/>
      <c r="F145" s="735" t="s">
        <v>84</v>
      </c>
      <c r="G145" s="736"/>
    </row>
    <row r="146" spans="1:7" ht="6" customHeight="1" thickBot="1" x14ac:dyDescent="0.5">
      <c r="A146" s="16"/>
      <c r="B146" s="333"/>
      <c r="C146" s="162"/>
      <c r="D146" s="16"/>
      <c r="E146" s="16"/>
      <c r="F146" s="333"/>
      <c r="G146" s="162"/>
    </row>
    <row r="147" spans="1:7" x14ac:dyDescent="0.45">
      <c r="A147" s="345"/>
      <c r="B147" s="369"/>
      <c r="C147" s="328"/>
      <c r="F147" s="453" t="s">
        <v>286</v>
      </c>
      <c r="G147" s="328"/>
    </row>
    <row r="148" spans="1:7" x14ac:dyDescent="0.4">
      <c r="A148" s="336" t="s">
        <v>177</v>
      </c>
      <c r="B148" s="649">
        <v>0</v>
      </c>
      <c r="C148" s="328">
        <f>C$143*B148</f>
        <v>0</v>
      </c>
      <c r="F148" s="327">
        <v>5.458476278108932E-2</v>
      </c>
      <c r="G148" s="328">
        <f>G$143*F148</f>
        <v>4252178.7417009836</v>
      </c>
    </row>
    <row r="149" spans="1:7" x14ac:dyDescent="0.4">
      <c r="A149" s="326" t="s">
        <v>178</v>
      </c>
      <c r="B149" s="649">
        <v>0</v>
      </c>
      <c r="C149" s="328">
        <f t="shared" ref="C149:C206" si="7">C$143*B149</f>
        <v>0</v>
      </c>
      <c r="F149" s="327">
        <v>9.7377427652985642E-5</v>
      </c>
      <c r="G149" s="328">
        <f t="shared" ref="G149:G206" si="8">G$143*F149</f>
        <v>7585.7474996850715</v>
      </c>
    </row>
    <row r="150" spans="1:7" x14ac:dyDescent="0.4">
      <c r="A150" s="326" t="s">
        <v>179</v>
      </c>
      <c r="B150" s="649">
        <v>0</v>
      </c>
      <c r="C150" s="328">
        <f t="shared" si="7"/>
        <v>0</v>
      </c>
      <c r="F150" s="327">
        <v>4.6239888619045846E-4</v>
      </c>
      <c r="G150" s="328">
        <f t="shared" si="8"/>
        <v>36021.091122639511</v>
      </c>
    </row>
    <row r="151" spans="1:7" x14ac:dyDescent="0.4">
      <c r="A151" s="326" t="s">
        <v>180</v>
      </c>
      <c r="B151" s="649">
        <v>0</v>
      </c>
      <c r="C151" s="328">
        <f t="shared" si="7"/>
        <v>0</v>
      </c>
      <c r="F151" s="327">
        <v>1.1128020815201188E-2</v>
      </c>
      <c r="G151" s="328">
        <f t="shared" si="8"/>
        <v>866878.06517312187</v>
      </c>
    </row>
    <row r="152" spans="1:7" x14ac:dyDescent="0.4">
      <c r="A152" s="326" t="s">
        <v>181</v>
      </c>
      <c r="B152" s="649">
        <v>0</v>
      </c>
      <c r="C152" s="328">
        <f t="shared" si="7"/>
        <v>0</v>
      </c>
      <c r="F152" s="327">
        <v>8.9682291456342849E-4</v>
      </c>
      <c r="G152" s="328">
        <f t="shared" si="8"/>
        <v>69862.927639177782</v>
      </c>
    </row>
    <row r="153" spans="1:7" x14ac:dyDescent="0.4">
      <c r="A153" s="326" t="s">
        <v>182</v>
      </c>
      <c r="B153" s="649">
        <v>0</v>
      </c>
      <c r="C153" s="328">
        <f t="shared" si="7"/>
        <v>0</v>
      </c>
      <c r="F153" s="327">
        <v>1.2606528665501163E-3</v>
      </c>
      <c r="G153" s="328">
        <f t="shared" si="8"/>
        <v>98205.452340372605</v>
      </c>
    </row>
    <row r="154" spans="1:7" x14ac:dyDescent="0.4">
      <c r="A154" s="326" t="s">
        <v>183</v>
      </c>
      <c r="B154" s="649">
        <v>0</v>
      </c>
      <c r="C154" s="328">
        <f t="shared" si="7"/>
        <v>0</v>
      </c>
      <c r="F154" s="327">
        <v>2.2868844918800767E-2</v>
      </c>
      <c r="G154" s="328">
        <f t="shared" si="8"/>
        <v>1781493.7952734025</v>
      </c>
    </row>
    <row r="155" spans="1:7" x14ac:dyDescent="0.4">
      <c r="A155" s="326" t="s">
        <v>184</v>
      </c>
      <c r="B155" s="649">
        <v>0</v>
      </c>
      <c r="C155" s="328">
        <f t="shared" si="7"/>
        <v>0</v>
      </c>
      <c r="F155" s="327">
        <v>1.1086016201186943E-3</v>
      </c>
      <c r="G155" s="328">
        <f t="shared" si="8"/>
        <v>86360.588594828863</v>
      </c>
    </row>
    <row r="156" spans="1:7" x14ac:dyDescent="0.4">
      <c r="A156" s="326" t="s">
        <v>185</v>
      </c>
      <c r="B156" s="649">
        <v>0</v>
      </c>
      <c r="C156" s="328">
        <f t="shared" si="7"/>
        <v>0</v>
      </c>
      <c r="F156" s="327">
        <v>3.1068826651717467E-3</v>
      </c>
      <c r="G156" s="328">
        <f t="shared" si="8"/>
        <v>242027.62362062518</v>
      </c>
    </row>
    <row r="157" spans="1:7" x14ac:dyDescent="0.4">
      <c r="A157" s="326" t="s">
        <v>186</v>
      </c>
      <c r="B157" s="649">
        <v>0</v>
      </c>
      <c r="C157" s="328">
        <f t="shared" si="7"/>
        <v>0</v>
      </c>
      <c r="F157" s="327">
        <v>2.9933203396639931E-2</v>
      </c>
      <c r="G157" s="328">
        <f t="shared" si="8"/>
        <v>2331810.6495151813</v>
      </c>
    </row>
    <row r="158" spans="1:7" x14ac:dyDescent="0.4">
      <c r="A158" s="326" t="s">
        <v>187</v>
      </c>
      <c r="B158" s="649">
        <v>0</v>
      </c>
      <c r="C158" s="328">
        <f t="shared" si="7"/>
        <v>0</v>
      </c>
      <c r="F158" s="327">
        <v>9.9523328660607144E-4</v>
      </c>
      <c r="G158" s="328">
        <f t="shared" si="8"/>
        <v>77529.141993554062</v>
      </c>
    </row>
    <row r="159" spans="1:7" x14ac:dyDescent="0.4">
      <c r="A159" s="326" t="s">
        <v>188</v>
      </c>
      <c r="B159" s="649">
        <v>0</v>
      </c>
      <c r="C159" s="328">
        <f t="shared" si="7"/>
        <v>0</v>
      </c>
      <c r="F159" s="327">
        <v>4.9214350914234678E-3</v>
      </c>
      <c r="G159" s="328">
        <f t="shared" si="8"/>
        <v>383382.11266646965</v>
      </c>
    </row>
    <row r="160" spans="1:7" x14ac:dyDescent="0.4">
      <c r="A160" s="326" t="s">
        <v>189</v>
      </c>
      <c r="B160" s="649">
        <v>0</v>
      </c>
      <c r="C160" s="328">
        <f t="shared" si="7"/>
        <v>0</v>
      </c>
      <c r="F160" s="327">
        <v>6.1113710840025167E-3</v>
      </c>
      <c r="G160" s="328">
        <f t="shared" si="8"/>
        <v>476078.68720178021</v>
      </c>
    </row>
    <row r="161" spans="1:7" x14ac:dyDescent="0.4">
      <c r="A161" s="326" t="s">
        <v>190</v>
      </c>
      <c r="B161" s="649">
        <v>0</v>
      </c>
      <c r="C161" s="328">
        <f t="shared" si="7"/>
        <v>0</v>
      </c>
      <c r="F161" s="327">
        <v>5.3365786657240269E-4</v>
      </c>
      <c r="G161" s="328">
        <f t="shared" si="8"/>
        <v>41572.1992725565</v>
      </c>
    </row>
    <row r="162" spans="1:7" x14ac:dyDescent="0.4">
      <c r="A162" s="326" t="s">
        <v>191</v>
      </c>
      <c r="B162" s="649">
        <v>0</v>
      </c>
      <c r="C162" s="328">
        <f t="shared" si="7"/>
        <v>0</v>
      </c>
      <c r="F162" s="327">
        <v>2.3415285185902388E-2</v>
      </c>
      <c r="G162" s="328">
        <f t="shared" si="8"/>
        <v>1824061.7495704193</v>
      </c>
    </row>
    <row r="163" spans="1:7" x14ac:dyDescent="0.4">
      <c r="A163" s="326" t="s">
        <v>192</v>
      </c>
      <c r="B163" s="649">
        <v>0</v>
      </c>
      <c r="C163" s="328">
        <f t="shared" si="7"/>
        <v>0</v>
      </c>
      <c r="F163" s="327">
        <v>1.7037357983620898E-3</v>
      </c>
      <c r="G163" s="328">
        <f t="shared" si="8"/>
        <v>132721.82151499781</v>
      </c>
    </row>
    <row r="164" spans="1:7" x14ac:dyDescent="0.4">
      <c r="A164" s="326" t="s">
        <v>193</v>
      </c>
      <c r="B164" s="649">
        <v>0</v>
      </c>
      <c r="C164" s="328">
        <f t="shared" si="7"/>
        <v>0</v>
      </c>
      <c r="F164" s="327">
        <v>2.5115942411816092E-3</v>
      </c>
      <c r="G164" s="328">
        <f t="shared" si="8"/>
        <v>195654.37488410244</v>
      </c>
    </row>
    <row r="165" spans="1:7" x14ac:dyDescent="0.4">
      <c r="A165" s="326" t="s">
        <v>194</v>
      </c>
      <c r="B165" s="649">
        <v>0</v>
      </c>
      <c r="C165" s="328">
        <f t="shared" si="7"/>
        <v>0</v>
      </c>
      <c r="F165" s="327">
        <v>1.183177280460982E-3</v>
      </c>
      <c r="G165" s="328">
        <f t="shared" si="8"/>
        <v>92170.067676519582</v>
      </c>
    </row>
    <row r="166" spans="1:7" x14ac:dyDescent="0.4">
      <c r="A166" s="326" t="s">
        <v>195</v>
      </c>
      <c r="B166" s="649">
        <v>0</v>
      </c>
      <c r="C166" s="328">
        <f t="shared" si="7"/>
        <v>0</v>
      </c>
      <c r="F166" s="327">
        <v>0.38422722260860442</v>
      </c>
      <c r="G166" s="328">
        <f t="shared" si="8"/>
        <v>29931481.694102809</v>
      </c>
    </row>
    <row r="167" spans="1:7" x14ac:dyDescent="0.4">
      <c r="A167" s="326" t="s">
        <v>196</v>
      </c>
      <c r="B167" s="649">
        <v>0</v>
      </c>
      <c r="C167" s="328">
        <f t="shared" si="7"/>
        <v>0</v>
      </c>
      <c r="F167" s="327">
        <v>2.6342759874983354E-3</v>
      </c>
      <c r="G167" s="328">
        <f t="shared" si="8"/>
        <v>205211.34073141881</v>
      </c>
    </row>
    <row r="168" spans="1:7" x14ac:dyDescent="0.4">
      <c r="A168" s="326" t="s">
        <v>197</v>
      </c>
      <c r="B168" s="649">
        <v>0</v>
      </c>
      <c r="C168" s="328">
        <f t="shared" si="7"/>
        <v>0</v>
      </c>
      <c r="F168" s="327">
        <v>3.5937187111847557E-3</v>
      </c>
      <c r="G168" s="328">
        <f t="shared" si="8"/>
        <v>279952.3810085507</v>
      </c>
    </row>
    <row r="169" spans="1:7" x14ac:dyDescent="0.4">
      <c r="A169" s="326" t="s">
        <v>198</v>
      </c>
      <c r="B169" s="649">
        <v>0</v>
      </c>
      <c r="C169" s="328">
        <f t="shared" si="7"/>
        <v>0</v>
      </c>
      <c r="F169" s="327">
        <v>8.1996334247027539E-4</v>
      </c>
      <c r="G169" s="328">
        <f t="shared" si="8"/>
        <v>63875.530755885557</v>
      </c>
    </row>
    <row r="170" spans="1:7" x14ac:dyDescent="0.4">
      <c r="A170" s="326" t="s">
        <v>199</v>
      </c>
      <c r="B170" s="649">
        <v>0</v>
      </c>
      <c r="C170" s="328">
        <f t="shared" si="7"/>
        <v>0</v>
      </c>
      <c r="F170" s="327">
        <v>6.8848743038209485E-3</v>
      </c>
      <c r="G170" s="328">
        <f t="shared" si="8"/>
        <v>536334.95251046971</v>
      </c>
    </row>
    <row r="171" spans="1:7" x14ac:dyDescent="0.4">
      <c r="A171" s="326" t="s">
        <v>200</v>
      </c>
      <c r="B171" s="649">
        <v>0</v>
      </c>
      <c r="C171" s="328">
        <f t="shared" si="7"/>
        <v>0</v>
      </c>
      <c r="F171" s="327">
        <v>5.8880524886306468E-3</v>
      </c>
      <c r="G171" s="328">
        <f t="shared" si="8"/>
        <v>458682.06339166866</v>
      </c>
    </row>
    <row r="172" spans="1:7" x14ac:dyDescent="0.4">
      <c r="A172" s="326" t="s">
        <v>201</v>
      </c>
      <c r="B172" s="649">
        <v>0</v>
      </c>
      <c r="C172" s="328">
        <f t="shared" si="7"/>
        <v>0</v>
      </c>
      <c r="F172" s="327">
        <v>4.7494582191040248E-4</v>
      </c>
      <c r="G172" s="328">
        <f t="shared" si="8"/>
        <v>36998.503327503357</v>
      </c>
    </row>
    <row r="173" spans="1:7" x14ac:dyDescent="0.4">
      <c r="A173" s="326" t="s">
        <v>202</v>
      </c>
      <c r="B173" s="649">
        <v>0</v>
      </c>
      <c r="C173" s="328">
        <f t="shared" si="7"/>
        <v>0</v>
      </c>
      <c r="F173" s="327">
        <v>2.5948336499178243E-4</v>
      </c>
      <c r="G173" s="328">
        <f t="shared" si="8"/>
        <v>20213.876404815164</v>
      </c>
    </row>
    <row r="174" spans="1:7" x14ac:dyDescent="0.4">
      <c r="A174" s="326" t="s">
        <v>203</v>
      </c>
      <c r="B174" s="649">
        <v>0</v>
      </c>
      <c r="C174" s="328">
        <f t="shared" si="7"/>
        <v>0</v>
      </c>
      <c r="F174" s="327">
        <v>9.113647560685556E-3</v>
      </c>
      <c r="G174" s="328">
        <f t="shared" si="8"/>
        <v>709957.43944733101</v>
      </c>
    </row>
    <row r="175" spans="1:7" x14ac:dyDescent="0.4">
      <c r="A175" s="326" t="s">
        <v>204</v>
      </c>
      <c r="B175" s="649">
        <v>0</v>
      </c>
      <c r="C175" s="328">
        <f t="shared" si="7"/>
        <v>0</v>
      </c>
      <c r="F175" s="327">
        <v>3.587183131263431E-3</v>
      </c>
      <c r="G175" s="328">
        <f t="shared" si="8"/>
        <v>279443.25625302875</v>
      </c>
    </row>
    <row r="176" spans="1:7" x14ac:dyDescent="0.4">
      <c r="A176" s="326" t="s">
        <v>205</v>
      </c>
      <c r="B176" s="649">
        <v>0</v>
      </c>
      <c r="C176" s="328">
        <f t="shared" si="7"/>
        <v>0</v>
      </c>
      <c r="F176" s="327">
        <v>3.6549012424072149E-3</v>
      </c>
      <c r="G176" s="328">
        <f t="shared" si="8"/>
        <v>284718.5290207892</v>
      </c>
    </row>
    <row r="177" spans="1:7" x14ac:dyDescent="0.4">
      <c r="A177" s="326" t="s">
        <v>206</v>
      </c>
      <c r="B177" s="649">
        <v>0</v>
      </c>
      <c r="C177" s="328">
        <f t="shared" si="7"/>
        <v>0</v>
      </c>
      <c r="F177" s="327">
        <v>3.3978121924754877E-2</v>
      </c>
      <c r="G177" s="328">
        <f t="shared" si="8"/>
        <v>2646911.7088738489</v>
      </c>
    </row>
    <row r="178" spans="1:7" x14ac:dyDescent="0.4">
      <c r="A178" s="326" t="s">
        <v>207</v>
      </c>
      <c r="B178" s="649">
        <v>0</v>
      </c>
      <c r="C178" s="328">
        <f t="shared" si="7"/>
        <v>0</v>
      </c>
      <c r="F178" s="327">
        <v>3.7217529875206152E-3</v>
      </c>
      <c r="G178" s="328">
        <f t="shared" si="8"/>
        <v>289926.31146653969</v>
      </c>
    </row>
    <row r="179" spans="1:7" x14ac:dyDescent="0.4">
      <c r="A179" s="326" t="s">
        <v>208</v>
      </c>
      <c r="B179" s="649">
        <v>0</v>
      </c>
      <c r="C179" s="328">
        <f t="shared" si="7"/>
        <v>0</v>
      </c>
      <c r="F179" s="327">
        <v>8.6531537988610463E-4</v>
      </c>
      <c r="G179" s="328">
        <f t="shared" si="8"/>
        <v>67408.475841051841</v>
      </c>
    </row>
    <row r="180" spans="1:7" x14ac:dyDescent="0.4">
      <c r="A180" s="326" t="s">
        <v>209</v>
      </c>
      <c r="B180" s="649">
        <v>0</v>
      </c>
      <c r="C180" s="328">
        <f t="shared" si="7"/>
        <v>0</v>
      </c>
      <c r="F180" s="327">
        <v>3.0004668684011519E-2</v>
      </c>
      <c r="G180" s="328">
        <f t="shared" si="8"/>
        <v>2337377.8290768061</v>
      </c>
    </row>
    <row r="181" spans="1:7" x14ac:dyDescent="0.4">
      <c r="A181" s="326" t="s">
        <v>210</v>
      </c>
      <c r="B181" s="649">
        <v>0</v>
      </c>
      <c r="C181" s="328">
        <f t="shared" si="7"/>
        <v>0</v>
      </c>
      <c r="F181" s="327">
        <v>5.5415657310857652E-2</v>
      </c>
      <c r="G181" s="328">
        <f t="shared" si="8"/>
        <v>4316905.8170983065</v>
      </c>
    </row>
    <row r="182" spans="1:7" x14ac:dyDescent="0.4">
      <c r="A182" s="326" t="s">
        <v>211</v>
      </c>
      <c r="B182" s="649">
        <v>0</v>
      </c>
      <c r="C182" s="328">
        <f t="shared" si="7"/>
        <v>0</v>
      </c>
      <c r="F182" s="327">
        <v>8.6849252514465585E-4</v>
      </c>
      <c r="G182" s="328">
        <f t="shared" si="8"/>
        <v>67655.976953805381</v>
      </c>
    </row>
    <row r="183" spans="1:7" x14ac:dyDescent="0.4">
      <c r="A183" s="326" t="s">
        <v>212</v>
      </c>
      <c r="B183" s="649">
        <v>0</v>
      </c>
      <c r="C183" s="328">
        <f t="shared" si="7"/>
        <v>0</v>
      </c>
      <c r="F183" s="327">
        <v>3.6795438635545519E-2</v>
      </c>
      <c r="G183" s="328">
        <f t="shared" si="8"/>
        <v>2866382.0082009211</v>
      </c>
    </row>
    <row r="184" spans="1:7" x14ac:dyDescent="0.4">
      <c r="A184" s="326" t="s">
        <v>213</v>
      </c>
      <c r="B184" s="649">
        <v>0</v>
      </c>
      <c r="C184" s="328">
        <f t="shared" si="7"/>
        <v>0</v>
      </c>
      <c r="F184" s="327">
        <v>5.0211081291912062E-2</v>
      </c>
      <c r="G184" s="328">
        <f t="shared" si="8"/>
        <v>3911466.8927581548</v>
      </c>
    </row>
    <row r="185" spans="1:7" x14ac:dyDescent="0.4">
      <c r="A185" s="326" t="s">
        <v>214</v>
      </c>
      <c r="B185" s="649">
        <v>0</v>
      </c>
      <c r="C185" s="328">
        <f t="shared" si="7"/>
        <v>0</v>
      </c>
      <c r="F185" s="327">
        <v>2.6168224602194118E-2</v>
      </c>
      <c r="G185" s="328">
        <f t="shared" si="8"/>
        <v>2038517.0273206031</v>
      </c>
    </row>
    <row r="186" spans="1:7" x14ac:dyDescent="0.4">
      <c r="A186" s="326" t="s">
        <v>215</v>
      </c>
      <c r="B186" s="649">
        <v>0</v>
      </c>
      <c r="C186" s="328">
        <f t="shared" si="7"/>
        <v>0</v>
      </c>
      <c r="F186" s="327">
        <v>1.6994034572876519E-2</v>
      </c>
      <c r="G186" s="328">
        <f t="shared" si="8"/>
        <v>1323843.3010384331</v>
      </c>
    </row>
    <row r="187" spans="1:7" x14ac:dyDescent="0.4">
      <c r="A187" s="326" t="s">
        <v>216</v>
      </c>
      <c r="B187" s="649">
        <v>0</v>
      </c>
      <c r="C187" s="328">
        <f t="shared" si="7"/>
        <v>0</v>
      </c>
      <c r="F187" s="327">
        <v>8.7487720674264101E-3</v>
      </c>
      <c r="G187" s="328">
        <f t="shared" si="8"/>
        <v>681533.46658833895</v>
      </c>
    </row>
    <row r="188" spans="1:7" x14ac:dyDescent="0.4">
      <c r="A188" s="336" t="s">
        <v>176</v>
      </c>
      <c r="B188" s="649">
        <v>0</v>
      </c>
      <c r="C188" s="328">
        <f t="shared" si="7"/>
        <v>0</v>
      </c>
      <c r="D188" s="338"/>
      <c r="E188" s="338"/>
      <c r="F188" s="337">
        <v>8.0390113649218432E-3</v>
      </c>
      <c r="G188" s="328">
        <f t="shared" si="8"/>
        <v>626242.77341470728</v>
      </c>
    </row>
    <row r="189" spans="1:7" x14ac:dyDescent="0.4">
      <c r="A189" s="336" t="s">
        <v>217</v>
      </c>
      <c r="B189" s="649">
        <v>0</v>
      </c>
      <c r="C189" s="328">
        <f t="shared" si="7"/>
        <v>0</v>
      </c>
      <c r="D189" s="338"/>
      <c r="E189" s="338"/>
      <c r="F189" s="337">
        <v>1.1227588162479527E-2</v>
      </c>
      <c r="G189" s="328">
        <f t="shared" si="8"/>
        <v>874634.40844354057</v>
      </c>
    </row>
    <row r="190" spans="1:7" x14ac:dyDescent="0.4">
      <c r="A190" s="336" t="s">
        <v>218</v>
      </c>
      <c r="B190" s="649">
        <v>0</v>
      </c>
      <c r="C190" s="328">
        <f t="shared" si="7"/>
        <v>0</v>
      </c>
      <c r="D190" s="338"/>
      <c r="E190" s="338"/>
      <c r="F190" s="337">
        <v>3.6238523575899621E-2</v>
      </c>
      <c r="G190" s="328">
        <f t="shared" si="8"/>
        <v>2822998.0626288457</v>
      </c>
    </row>
    <row r="191" spans="1:7" x14ac:dyDescent="0.4">
      <c r="A191" s="336" t="s">
        <v>219</v>
      </c>
      <c r="B191" s="649">
        <v>0</v>
      </c>
      <c r="C191" s="328">
        <f t="shared" si="7"/>
        <v>0</v>
      </c>
      <c r="D191" s="338"/>
      <c r="E191" s="338"/>
      <c r="F191" s="337">
        <v>1.060107876087326E-2</v>
      </c>
      <c r="G191" s="328">
        <f t="shared" si="8"/>
        <v>825829.03083898849</v>
      </c>
    </row>
    <row r="192" spans="1:7" x14ac:dyDescent="0.4">
      <c r="A192" s="326" t="s">
        <v>220</v>
      </c>
      <c r="B192" s="649">
        <v>0</v>
      </c>
      <c r="C192" s="328">
        <f t="shared" si="7"/>
        <v>0</v>
      </c>
      <c r="F192" s="327">
        <v>4.7789203019028012E-3</v>
      </c>
      <c r="G192" s="328">
        <f t="shared" si="8"/>
        <v>372280.14340797701</v>
      </c>
    </row>
    <row r="193" spans="1:7" x14ac:dyDescent="0.4">
      <c r="A193" s="326" t="s">
        <v>221</v>
      </c>
      <c r="B193" s="649">
        <v>0</v>
      </c>
      <c r="C193" s="328">
        <f t="shared" si="7"/>
        <v>0</v>
      </c>
      <c r="F193" s="327">
        <v>1.3469291811223739E-4</v>
      </c>
      <c r="G193" s="328">
        <f t="shared" si="8"/>
        <v>10492.641790007929</v>
      </c>
    </row>
    <row r="194" spans="1:7" x14ac:dyDescent="0.4">
      <c r="A194" s="326" t="s">
        <v>222</v>
      </c>
      <c r="B194" s="649">
        <v>0</v>
      </c>
      <c r="C194" s="328">
        <f t="shared" si="7"/>
        <v>0</v>
      </c>
      <c r="F194" s="327">
        <v>1.8416391597867153E-3</v>
      </c>
      <c r="G194" s="328">
        <f t="shared" si="8"/>
        <v>143464.55835184365</v>
      </c>
    </row>
    <row r="195" spans="1:7" x14ac:dyDescent="0.4">
      <c r="A195" s="326" t="s">
        <v>223</v>
      </c>
      <c r="B195" s="649">
        <v>0</v>
      </c>
      <c r="C195" s="328">
        <f t="shared" si="7"/>
        <v>0</v>
      </c>
      <c r="F195" s="327">
        <v>1.0395359420215399E-2</v>
      </c>
      <c r="G195" s="328">
        <f t="shared" si="8"/>
        <v>809803.39726409712</v>
      </c>
    </row>
    <row r="196" spans="1:7" x14ac:dyDescent="0.4">
      <c r="A196" s="326" t="s">
        <v>224</v>
      </c>
      <c r="B196" s="649">
        <v>0</v>
      </c>
      <c r="C196" s="328">
        <f t="shared" si="7"/>
        <v>0</v>
      </c>
      <c r="F196" s="327">
        <v>7.8898182014447479E-3</v>
      </c>
      <c r="G196" s="328">
        <f t="shared" si="8"/>
        <v>614620.55567807169</v>
      </c>
    </row>
    <row r="197" spans="1:7" x14ac:dyDescent="0.4">
      <c r="A197" s="326" t="s">
        <v>225</v>
      </c>
      <c r="B197" s="649">
        <v>0</v>
      </c>
      <c r="C197" s="328">
        <f t="shared" si="7"/>
        <v>0</v>
      </c>
      <c r="F197" s="327">
        <v>1.1689660762978419E-2</v>
      </c>
      <c r="G197" s="328">
        <f t="shared" si="8"/>
        <v>910630.08175705711</v>
      </c>
    </row>
    <row r="198" spans="1:7" x14ac:dyDescent="0.4">
      <c r="A198" s="326" t="s">
        <v>226</v>
      </c>
      <c r="B198" s="649">
        <v>0</v>
      </c>
      <c r="C198" s="328">
        <f t="shared" si="7"/>
        <v>0</v>
      </c>
      <c r="F198" s="327">
        <v>7.4922030574262272E-3</v>
      </c>
      <c r="G198" s="328">
        <f t="shared" si="8"/>
        <v>583646.14859757281</v>
      </c>
    </row>
    <row r="199" spans="1:7" x14ac:dyDescent="0.4">
      <c r="A199" s="326" t="s">
        <v>227</v>
      </c>
      <c r="B199" s="649">
        <v>0</v>
      </c>
      <c r="C199" s="328">
        <f t="shared" si="7"/>
        <v>0</v>
      </c>
      <c r="F199" s="327">
        <v>1.9451561143185648E-3</v>
      </c>
      <c r="G199" s="328">
        <f t="shared" si="8"/>
        <v>151528.57788841755</v>
      </c>
    </row>
    <row r="200" spans="1:7" x14ac:dyDescent="0.4">
      <c r="A200" s="326" t="s">
        <v>228</v>
      </c>
      <c r="B200" s="649">
        <v>0</v>
      </c>
      <c r="C200" s="328">
        <f t="shared" si="7"/>
        <v>0</v>
      </c>
      <c r="F200" s="327">
        <v>6.7852113787954878E-4</v>
      </c>
      <c r="G200" s="328">
        <f t="shared" si="8"/>
        <v>52857.116368851261</v>
      </c>
    </row>
    <row r="201" spans="1:7" x14ac:dyDescent="0.4">
      <c r="A201" s="326" t="s">
        <v>229</v>
      </c>
      <c r="B201" s="649">
        <v>0</v>
      </c>
      <c r="C201" s="328">
        <f t="shared" si="7"/>
        <v>0</v>
      </c>
      <c r="F201" s="327">
        <v>1.595320532739675E-2</v>
      </c>
      <c r="G201" s="328">
        <f t="shared" si="8"/>
        <v>1242762.2123632059</v>
      </c>
    </row>
    <row r="202" spans="1:7" x14ac:dyDescent="0.4">
      <c r="A202" s="326" t="s">
        <v>230</v>
      </c>
      <c r="B202" s="649">
        <v>0</v>
      </c>
      <c r="C202" s="328">
        <f t="shared" si="7"/>
        <v>0</v>
      </c>
      <c r="F202" s="327">
        <v>1.0230331094156929E-3</v>
      </c>
      <c r="G202" s="328">
        <f t="shared" si="8"/>
        <v>79694.761290063674</v>
      </c>
    </row>
    <row r="203" spans="1:7" x14ac:dyDescent="0.4">
      <c r="A203" s="326" t="s">
        <v>231</v>
      </c>
      <c r="B203" s="649">
        <v>0</v>
      </c>
      <c r="C203" s="328">
        <f t="shared" si="7"/>
        <v>0</v>
      </c>
      <c r="F203" s="327">
        <v>1.4754682312891742E-2</v>
      </c>
      <c r="G203" s="328">
        <f t="shared" si="8"/>
        <v>1149396.704773546</v>
      </c>
    </row>
    <row r="204" spans="1:7" x14ac:dyDescent="0.4">
      <c r="A204" s="326" t="s">
        <v>232</v>
      </c>
      <c r="B204" s="649">
        <v>0</v>
      </c>
      <c r="C204" s="328">
        <f t="shared" si="7"/>
        <v>0</v>
      </c>
      <c r="F204" s="327">
        <v>3.5840196399687546E-3</v>
      </c>
      <c r="G204" s="328">
        <f t="shared" si="8"/>
        <v>279196.81879049499</v>
      </c>
    </row>
    <row r="205" spans="1:7" x14ac:dyDescent="0.4">
      <c r="A205" s="326" t="s">
        <v>233</v>
      </c>
      <c r="B205" s="649">
        <v>0</v>
      </c>
      <c r="C205" s="328">
        <f t="shared" si="7"/>
        <v>0</v>
      </c>
      <c r="F205" s="327">
        <v>0</v>
      </c>
      <c r="G205" s="328">
        <f t="shared" si="8"/>
        <v>0</v>
      </c>
    </row>
    <row r="206" spans="1:7" x14ac:dyDescent="0.4">
      <c r="A206" s="326" t="s">
        <v>135</v>
      </c>
      <c r="B206" s="331">
        <v>0</v>
      </c>
      <c r="C206" s="332">
        <f t="shared" si="7"/>
        <v>0</v>
      </c>
      <c r="F206" s="327">
        <v>0</v>
      </c>
      <c r="G206" s="332">
        <f t="shared" si="8"/>
        <v>0</v>
      </c>
    </row>
    <row r="207" spans="1:7" ht="14.65" thickBot="1" x14ac:dyDescent="0.45">
      <c r="A207" s="326" t="s">
        <v>136</v>
      </c>
      <c r="B207" s="352">
        <f>SUM(B147:B206)</f>
        <v>0</v>
      </c>
      <c r="C207" s="330">
        <f>SUM(C147:C206)</f>
        <v>0</v>
      </c>
      <c r="F207" s="353">
        <f>SUM(F147:F206)</f>
        <v>0.99999999999999978</v>
      </c>
      <c r="G207" s="335">
        <f>SUM(G147:G206)</f>
        <v>77900471.213078722</v>
      </c>
    </row>
    <row r="209" spans="1:7" ht="30.75" customHeight="1" x14ac:dyDescent="0.45"/>
    <row r="210" spans="1:7" ht="30.75" customHeight="1" x14ac:dyDescent="0.45"/>
    <row r="211" spans="1:7" ht="30.75" customHeight="1" x14ac:dyDescent="0.45"/>
    <row r="212" spans="1:7" ht="31.5" customHeight="1" x14ac:dyDescent="0.45"/>
    <row r="214" spans="1:7" ht="15.75" x14ac:dyDescent="0.45">
      <c r="A214" s="737" t="s">
        <v>153</v>
      </c>
      <c r="B214" s="737"/>
      <c r="C214" s="737"/>
      <c r="D214" s="737"/>
      <c r="E214" s="737"/>
      <c r="F214" s="737"/>
      <c r="G214" s="737"/>
    </row>
    <row r="216" spans="1:7" x14ac:dyDescent="0.45">
      <c r="A216" s="734" t="s">
        <v>141</v>
      </c>
      <c r="B216" s="734"/>
      <c r="C216" s="734"/>
      <c r="D216" s="734"/>
      <c r="E216" s="734"/>
      <c r="F216" s="734"/>
      <c r="G216" s="734"/>
    </row>
    <row r="217" spans="1:7" ht="15" customHeight="1" x14ac:dyDescent="0.45">
      <c r="A217" s="733"/>
      <c r="B217" s="733"/>
      <c r="C217" s="733"/>
      <c r="D217" s="733"/>
      <c r="E217" s="733"/>
      <c r="F217" s="733"/>
      <c r="G217" s="733"/>
    </row>
    <row r="218" spans="1:7" x14ac:dyDescent="0.45">
      <c r="A218" s="16"/>
      <c r="B218" s="16"/>
      <c r="C218" s="16"/>
      <c r="D218" s="16"/>
      <c r="E218" s="16"/>
      <c r="F218" s="16"/>
      <c r="G218" s="16"/>
    </row>
    <row r="219" spans="1:7" x14ac:dyDescent="0.45">
      <c r="B219" s="339" t="s">
        <v>85</v>
      </c>
      <c r="C219" s="343">
        <f>B23</f>
        <v>8389281.5152546391</v>
      </c>
      <c r="D219" s="16"/>
      <c r="E219" s="16"/>
      <c r="F219" s="295" t="s">
        <v>86</v>
      </c>
      <c r="G219" s="340">
        <f>B24</f>
        <v>62919611.364409789</v>
      </c>
    </row>
    <row r="220" spans="1:7" ht="14.65" thickBot="1" x14ac:dyDescent="0.5">
      <c r="A220" s="16"/>
      <c r="B220" s="16"/>
      <c r="C220" s="16"/>
      <c r="D220" s="16"/>
      <c r="E220" s="16"/>
      <c r="F220" s="341"/>
    </row>
    <row r="221" spans="1:7" ht="15.75" customHeight="1" thickBot="1" x14ac:dyDescent="0.5">
      <c r="A221" s="16"/>
      <c r="B221" s="735" t="s">
        <v>85</v>
      </c>
      <c r="C221" s="736"/>
      <c r="D221" s="16"/>
      <c r="E221" s="16"/>
      <c r="F221" s="735" t="s">
        <v>86</v>
      </c>
      <c r="G221" s="736"/>
    </row>
    <row r="222" spans="1:7" ht="6" customHeight="1" thickBot="1" x14ac:dyDescent="0.5">
      <c r="A222" s="16"/>
      <c r="B222" s="333"/>
      <c r="C222" s="162"/>
      <c r="D222" s="16"/>
      <c r="E222" s="16"/>
      <c r="F222" s="333"/>
      <c r="G222" s="162"/>
    </row>
    <row r="223" spans="1:7" x14ac:dyDescent="0.45">
      <c r="A223" s="345"/>
      <c r="B223" s="456"/>
      <c r="C223" s="328"/>
      <c r="F223" s="456"/>
      <c r="G223" s="328"/>
    </row>
    <row r="224" spans="1:7" x14ac:dyDescent="0.4">
      <c r="A224" s="336" t="s">
        <v>177</v>
      </c>
      <c r="B224" s="327">
        <v>4.4127999855189434E-2</v>
      </c>
      <c r="C224" s="328">
        <f>IF(B224="TBD","TBD",C$219*B224)</f>
        <v>370202.21349030011</v>
      </c>
      <c r="F224" s="327">
        <v>3.9666871039486129E-2</v>
      </c>
      <c r="G224" s="328">
        <f>IF(F224="TBD","TBD",G$219*F224)</f>
        <v>2495824.1098466292</v>
      </c>
    </row>
    <row r="225" spans="1:7" x14ac:dyDescent="0.4">
      <c r="A225" s="326" t="s">
        <v>178</v>
      </c>
      <c r="B225" s="327">
        <v>2.4999990930893604E-5</v>
      </c>
      <c r="C225" s="328">
        <f t="shared" ref="C225:C282" si="9">IF(B225="TBD","TBD",C$219*B225)</f>
        <v>209.73196179807934</v>
      </c>
      <c r="F225" s="327">
        <v>1.3775327028209185E-4</v>
      </c>
      <c r="G225" s="328">
        <f t="shared" ref="G225:G282" si="10">IF(F225="TBD","TBD",G$219*F225)</f>
        <v>8667.3822303257202</v>
      </c>
    </row>
    <row r="226" spans="1:7" x14ac:dyDescent="0.4">
      <c r="A226" s="326" t="s">
        <v>179</v>
      </c>
      <c r="B226" s="327">
        <v>1.1410001599503439E-3</v>
      </c>
      <c r="C226" s="328">
        <f t="shared" si="9"/>
        <v>9572.1715507740064</v>
      </c>
      <c r="F226" s="327">
        <v>1.1229111358305674E-3</v>
      </c>
      <c r="G226" s="328">
        <f t="shared" si="10"/>
        <v>70653.132263227279</v>
      </c>
    </row>
    <row r="227" spans="1:7" x14ac:dyDescent="0.4">
      <c r="A227" s="326" t="s">
        <v>180</v>
      </c>
      <c r="B227" s="327">
        <v>3.817999516752922E-3</v>
      </c>
      <c r="C227" s="328">
        <f t="shared" si="9"/>
        <v>32030.272771146432</v>
      </c>
      <c r="F227" s="327">
        <v>4.8617576790945067E-3</v>
      </c>
      <c r="G227" s="328">
        <f t="shared" si="10"/>
        <v>305899.90371656127</v>
      </c>
    </row>
    <row r="228" spans="1:7" x14ac:dyDescent="0.4">
      <c r="A228" s="326" t="s">
        <v>181</v>
      </c>
      <c r="B228" s="327">
        <v>7.1099949613274559E-4</v>
      </c>
      <c r="C228" s="328">
        <f t="shared" si="9"/>
        <v>5964.7749302618049</v>
      </c>
      <c r="F228" s="327">
        <v>1.1719334987785467E-3</v>
      </c>
      <c r="G228" s="328">
        <f t="shared" si="10"/>
        <v>73737.600288079178</v>
      </c>
    </row>
    <row r="229" spans="1:7" x14ac:dyDescent="0.4">
      <c r="A229" s="326" t="s">
        <v>182</v>
      </c>
      <c r="B229" s="327">
        <v>2.9600026153458293E-4</v>
      </c>
      <c r="C229" s="328">
        <f t="shared" si="9"/>
        <v>2483.2295226026154</v>
      </c>
      <c r="F229" s="327">
        <v>4.9368512464521017E-4</v>
      </c>
      <c r="G229" s="328">
        <f t="shared" si="10"/>
        <v>31062.476179066831</v>
      </c>
    </row>
    <row r="230" spans="1:7" x14ac:dyDescent="0.4">
      <c r="A230" s="326" t="s">
        <v>183</v>
      </c>
      <c r="B230" s="327">
        <v>2.7405000101071861E-2</v>
      </c>
      <c r="C230" s="328">
        <f t="shared" si="9"/>
        <v>229908.26077347368</v>
      </c>
      <c r="F230" s="327">
        <v>1.3295184555921102E-2</v>
      </c>
      <c r="G230" s="328">
        <f t="shared" si="10"/>
        <v>836527.84527665889</v>
      </c>
    </row>
    <row r="231" spans="1:7" x14ac:dyDescent="0.4">
      <c r="A231" s="326" t="s">
        <v>184</v>
      </c>
      <c r="B231" s="327">
        <v>6.6199967786943975E-4</v>
      </c>
      <c r="C231" s="328">
        <f t="shared" si="9"/>
        <v>5553.7016606546167</v>
      </c>
      <c r="F231" s="327">
        <v>6.863236021183095E-4</v>
      </c>
      <c r="G231" s="328">
        <f t="shared" si="10"/>
        <v>43183.214315505851</v>
      </c>
    </row>
    <row r="232" spans="1:7" x14ac:dyDescent="0.4">
      <c r="A232" s="326" t="s">
        <v>185</v>
      </c>
      <c r="B232" s="327">
        <v>4.8959996175767908E-3</v>
      </c>
      <c r="C232" s="328">
        <f t="shared" si="9"/>
        <v>41073.919090430754</v>
      </c>
      <c r="F232" s="327">
        <v>3.307497844620459E-3</v>
      </c>
      <c r="G232" s="328">
        <f t="shared" si="10"/>
        <v>208106.47897214233</v>
      </c>
    </row>
    <row r="233" spans="1:7" x14ac:dyDescent="0.4">
      <c r="A233" s="326" t="s">
        <v>186</v>
      </c>
      <c r="B233" s="327">
        <v>2.9892000141654322E-2</v>
      </c>
      <c r="C233" s="328">
        <f t="shared" si="9"/>
        <v>250772.40424236967</v>
      </c>
      <c r="F233" s="327">
        <v>2.8805345764253389E-2</v>
      </c>
      <c r="G233" s="328">
        <f t="shared" si="10"/>
        <v>1812421.1607042709</v>
      </c>
    </row>
    <row r="234" spans="1:7" x14ac:dyDescent="0.4">
      <c r="A234" s="326" t="s">
        <v>187</v>
      </c>
      <c r="B234" s="327">
        <v>9.499996553739568E-4</v>
      </c>
      <c r="C234" s="328">
        <f t="shared" si="9"/>
        <v>7969.8145483270137</v>
      </c>
      <c r="F234" s="327">
        <v>1.7911007608091055E-3</v>
      </c>
      <c r="G234" s="328">
        <f t="shared" si="10"/>
        <v>112695.36378460762</v>
      </c>
    </row>
    <row r="235" spans="1:7" x14ac:dyDescent="0.4">
      <c r="A235" s="326" t="s">
        <v>188</v>
      </c>
      <c r="B235" s="327">
        <v>2.2750001994691028E-3</v>
      </c>
      <c r="C235" s="328">
        <f t="shared" si="9"/>
        <v>19085.617120606759</v>
      </c>
      <c r="F235" s="327">
        <v>4.5251619110708652E-3</v>
      </c>
      <c r="G235" s="328">
        <f t="shared" si="10"/>
        <v>284721.42880560871</v>
      </c>
    </row>
    <row r="236" spans="1:7" x14ac:dyDescent="0.4">
      <c r="A236" s="326" t="s">
        <v>189</v>
      </c>
      <c r="B236" s="327">
        <v>2.4539997656214986E-3</v>
      </c>
      <c r="C236" s="328">
        <f t="shared" si="9"/>
        <v>20587.294872167655</v>
      </c>
      <c r="F236" s="327">
        <v>4.4798577792721913E-3</v>
      </c>
      <c r="G236" s="328">
        <f t="shared" si="10"/>
        <v>281870.91043963417</v>
      </c>
    </row>
    <row r="237" spans="1:7" x14ac:dyDescent="0.4">
      <c r="A237" s="326" t="s">
        <v>190</v>
      </c>
      <c r="B237" s="327">
        <v>7.3600051182142444E-4</v>
      </c>
      <c r="C237" s="328">
        <f t="shared" si="9"/>
        <v>6174.5154890414296</v>
      </c>
      <c r="F237" s="327">
        <v>6.9183666237051633E-4</v>
      </c>
      <c r="G237" s="328">
        <f t="shared" si="10"/>
        <v>43530.093924003275</v>
      </c>
    </row>
    <row r="238" spans="1:7" x14ac:dyDescent="0.4">
      <c r="A238" s="326" t="s">
        <v>191</v>
      </c>
      <c r="B238" s="327">
        <v>1.9901000117894287E-2</v>
      </c>
      <c r="C238" s="328">
        <f t="shared" si="9"/>
        <v>166955.09242413094</v>
      </c>
      <c r="F238" s="327">
        <v>2.6919932172134769E-2</v>
      </c>
      <c r="G238" s="328">
        <f t="shared" si="10"/>
        <v>1693791.6702269914</v>
      </c>
    </row>
    <row r="239" spans="1:7" x14ac:dyDescent="0.4">
      <c r="A239" s="326" t="s">
        <v>192</v>
      </c>
      <c r="B239" s="327">
        <v>1.9070004559372834E-3</v>
      </c>
      <c r="C239" s="328">
        <f t="shared" si="9"/>
        <v>15998.36367457682</v>
      </c>
      <c r="F239" s="327">
        <v>5.9114065580475484E-3</v>
      </c>
      <c r="G239" s="328">
        <f t="shared" si="10"/>
        <v>371943.40324937506</v>
      </c>
    </row>
    <row r="240" spans="1:7" x14ac:dyDescent="0.4">
      <c r="A240" s="326" t="s">
        <v>193</v>
      </c>
      <c r="B240" s="327">
        <v>1.0119995509019501E-3</v>
      </c>
      <c r="C240" s="328">
        <f t="shared" si="9"/>
        <v>8489.9491258277267</v>
      </c>
      <c r="F240" s="327">
        <v>2.3824690768035114E-3</v>
      </c>
      <c r="G240" s="328">
        <f t="shared" si="10"/>
        <v>149904.02840020112</v>
      </c>
    </row>
    <row r="241" spans="1:7" x14ac:dyDescent="0.4">
      <c r="A241" s="326" t="s">
        <v>194</v>
      </c>
      <c r="B241" s="327">
        <v>3.2600004570009823E-4</v>
      </c>
      <c r="C241" s="328">
        <f t="shared" si="9"/>
        <v>2734.9061573640015</v>
      </c>
      <c r="F241" s="327">
        <v>7.9215648718489911E-4</v>
      </c>
      <c r="G241" s="328">
        <f t="shared" si="10"/>
        <v>49842.178313469914</v>
      </c>
    </row>
    <row r="242" spans="1:7" x14ac:dyDescent="0.4">
      <c r="A242" s="326" t="s">
        <v>195</v>
      </c>
      <c r="B242" s="327">
        <v>0.29801899850515917</v>
      </c>
      <c r="C242" s="328">
        <f t="shared" si="9"/>
        <v>2500165.2753540319</v>
      </c>
      <c r="F242" s="327">
        <v>0.28607812811317784</v>
      </c>
      <c r="G242" s="328">
        <f t="shared" si="10"/>
        <v>17999924.640738983</v>
      </c>
    </row>
    <row r="243" spans="1:7" x14ac:dyDescent="0.4">
      <c r="A243" s="326" t="s">
        <v>196</v>
      </c>
      <c r="B243" s="327">
        <v>2.6239999089031321E-3</v>
      </c>
      <c r="C243" s="328">
        <f t="shared" si="9"/>
        <v>22013.473931790904</v>
      </c>
      <c r="F243" s="327">
        <v>8.4795882526715258E-3</v>
      </c>
      <c r="G243" s="328">
        <f t="shared" si="10"/>
        <v>533532.39738830703</v>
      </c>
    </row>
    <row r="244" spans="1:7" x14ac:dyDescent="0.4">
      <c r="A244" s="326" t="s">
        <v>197</v>
      </c>
      <c r="B244" s="327">
        <v>6.1030003274490539E-3</v>
      </c>
      <c r="C244" s="328">
        <f t="shared" si="9"/>
        <v>51199.787834661358</v>
      </c>
      <c r="F244" s="327">
        <v>3.203646841111238E-3</v>
      </c>
      <c r="G244" s="328">
        <f t="shared" si="10"/>
        <v>201572.21419153817</v>
      </c>
    </row>
    <row r="245" spans="1:7" x14ac:dyDescent="0.4">
      <c r="A245" s="326" t="s">
        <v>198</v>
      </c>
      <c r="B245" s="327">
        <v>4.0200018209126043E-4</v>
      </c>
      <c r="C245" s="328">
        <f t="shared" si="9"/>
        <v>3372.4926967472102</v>
      </c>
      <c r="F245" s="327">
        <v>4.1828781907996064E-4</v>
      </c>
      <c r="G245" s="328">
        <f t="shared" si="10"/>
        <v>26318.507014977677</v>
      </c>
    </row>
    <row r="246" spans="1:7" x14ac:dyDescent="0.4">
      <c r="A246" s="326" t="s">
        <v>199</v>
      </c>
      <c r="B246" s="327">
        <v>2.7090004929228415E-3</v>
      </c>
      <c r="C246" s="328">
        <f t="shared" si="9"/>
        <v>22726.567760093301</v>
      </c>
      <c r="F246" s="327">
        <v>2.1663886501299269E-3</v>
      </c>
      <c r="G246" s="328">
        <f t="shared" si="10"/>
        <v>136308.33193044332</v>
      </c>
    </row>
    <row r="247" spans="1:7" x14ac:dyDescent="0.4">
      <c r="A247" s="326" t="s">
        <v>200</v>
      </c>
      <c r="B247" s="327">
        <v>5.7390002135533748E-3</v>
      </c>
      <c r="C247" s="328">
        <f t="shared" si="9"/>
        <v>48146.088407605755</v>
      </c>
      <c r="F247" s="327">
        <v>8.3926412436906017E-3</v>
      </c>
      <c r="G247" s="328">
        <f t="shared" si="10"/>
        <v>528061.72537392948</v>
      </c>
    </row>
    <row r="248" spans="1:7" x14ac:dyDescent="0.4">
      <c r="A248" s="326" t="s">
        <v>201</v>
      </c>
      <c r="B248" s="327">
        <v>2.1199984111335495E-4</v>
      </c>
      <c r="C248" s="328">
        <f t="shared" si="9"/>
        <v>1778.5263482891892</v>
      </c>
      <c r="F248" s="327">
        <v>1.9944628502883066E-4</v>
      </c>
      <c r="G248" s="328">
        <f t="shared" si="10"/>
        <v>12549.082742089327</v>
      </c>
    </row>
    <row r="249" spans="1:7" x14ac:dyDescent="0.4">
      <c r="A249" s="326" t="s">
        <v>202</v>
      </c>
      <c r="B249" s="327">
        <v>9.5699977580554138E-4</v>
      </c>
      <c r="C249" s="328">
        <f t="shared" si="9"/>
        <v>8028.5405292682617</v>
      </c>
      <c r="F249" s="327">
        <v>8.4634991455343454E-4</v>
      </c>
      <c r="G249" s="328">
        <f t="shared" si="10"/>
        <v>53252.007702003531</v>
      </c>
    </row>
    <row r="250" spans="1:7" x14ac:dyDescent="0.4">
      <c r="A250" s="326" t="s">
        <v>203</v>
      </c>
      <c r="B250" s="327">
        <v>7.6690003332245881E-3</v>
      </c>
      <c r="C250" s="328">
        <f t="shared" si="9"/>
        <v>64337.402736002703</v>
      </c>
      <c r="F250" s="327">
        <v>9.9754985154673504E-3</v>
      </c>
      <c r="G250" s="328">
        <f t="shared" si="10"/>
        <v>627654.48975945252</v>
      </c>
    </row>
    <row r="251" spans="1:7" x14ac:dyDescent="0.4">
      <c r="A251" s="326" t="s">
        <v>204</v>
      </c>
      <c r="B251" s="327">
        <v>3.2590002934025008E-3</v>
      </c>
      <c r="C251" s="328">
        <f t="shared" si="9"/>
        <v>27340.670919651046</v>
      </c>
      <c r="F251" s="327">
        <v>3.7369019628899669E-3</v>
      </c>
      <c r="G251" s="328">
        <f t="shared" si="10"/>
        <v>235124.41921193682</v>
      </c>
    </row>
    <row r="252" spans="1:7" x14ac:dyDescent="0.4">
      <c r="A252" s="326" t="s">
        <v>205</v>
      </c>
      <c r="B252" s="327">
        <v>1.6839998399984187E-3</v>
      </c>
      <c r="C252" s="328">
        <f t="shared" si="9"/>
        <v>14127.548729390504</v>
      </c>
      <c r="F252" s="327">
        <v>1.6589672622232951E-3</v>
      </c>
      <c r="G252" s="328">
        <f t="shared" si="10"/>
        <v>104381.57540536863</v>
      </c>
    </row>
    <row r="253" spans="1:7" x14ac:dyDescent="0.4">
      <c r="A253" s="326" t="s">
        <v>206</v>
      </c>
      <c r="B253" s="327">
        <v>8.6268000349573576E-2</v>
      </c>
      <c r="C253" s="328">
        <f t="shared" si="9"/>
        <v>723726.54069065838</v>
      </c>
      <c r="F253" s="327">
        <v>7.6300520655670154E-2</v>
      </c>
      <c r="G253" s="328">
        <f t="shared" si="10"/>
        <v>4800799.1065568877</v>
      </c>
    </row>
    <row r="254" spans="1:7" x14ac:dyDescent="0.4">
      <c r="A254" s="326" t="s">
        <v>207</v>
      </c>
      <c r="B254" s="327">
        <v>7.6940003241554832E-3</v>
      </c>
      <c r="C254" s="328">
        <f t="shared" si="9"/>
        <v>64547.134697800793</v>
      </c>
      <c r="F254" s="327">
        <v>6.9894315266215996E-3</v>
      </c>
      <c r="G254" s="328">
        <f t="shared" si="10"/>
        <v>439772.31531318446</v>
      </c>
    </row>
    <row r="255" spans="1:7" x14ac:dyDescent="0.4">
      <c r="A255" s="326" t="s">
        <v>208</v>
      </c>
      <c r="B255" s="327">
        <v>7.720002528200428E-4</v>
      </c>
      <c r="C255" s="328">
        <f t="shared" si="9"/>
        <v>6476.527450755093</v>
      </c>
      <c r="F255" s="327">
        <v>5.479341622029114E-4</v>
      </c>
      <c r="G255" s="328">
        <f t="shared" si="10"/>
        <v>34475.804539090663</v>
      </c>
    </row>
    <row r="256" spans="1:7" x14ac:dyDescent="0.4">
      <c r="A256" s="326" t="s">
        <v>209</v>
      </c>
      <c r="B256" s="327">
        <v>3.2023000352371163E-2</v>
      </c>
      <c r="C256" s="328">
        <f t="shared" si="9"/>
        <v>268649.96491914021</v>
      </c>
      <c r="F256" s="327">
        <v>6.7446243792030833E-2</v>
      </c>
      <c r="G256" s="328">
        <f t="shared" si="10"/>
        <v>4243691.4473838164</v>
      </c>
    </row>
    <row r="257" spans="1:7" x14ac:dyDescent="0.4">
      <c r="A257" s="326" t="s">
        <v>210</v>
      </c>
      <c r="B257" s="327">
        <v>5.1290000249364566E-2</v>
      </c>
      <c r="C257" s="328">
        <f t="shared" si="9"/>
        <v>430286.2510094</v>
      </c>
      <c r="F257" s="327">
        <v>4.6735849457532841E-2</v>
      </c>
      <c r="G257" s="328">
        <f t="shared" si="10"/>
        <v>2940601.4846535283</v>
      </c>
    </row>
    <row r="258" spans="1:7" x14ac:dyDescent="0.4">
      <c r="A258" s="326" t="s">
        <v>211</v>
      </c>
      <c r="B258" s="327">
        <v>7.7700004605466444E-4</v>
      </c>
      <c r="C258" s="328">
        <f t="shared" si="9"/>
        <v>6518.4721237183994</v>
      </c>
      <c r="F258" s="327">
        <v>1.839256451939202E-3</v>
      </c>
      <c r="G258" s="328">
        <f t="shared" si="10"/>
        <v>115725.30115549784</v>
      </c>
    </row>
    <row r="259" spans="1:7" x14ac:dyDescent="0.4">
      <c r="A259" s="326" t="s">
        <v>212</v>
      </c>
      <c r="B259" s="327">
        <v>5.2225999663875353E-2</v>
      </c>
      <c r="C259" s="328">
        <f t="shared" si="9"/>
        <v>438138.61359584448</v>
      </c>
      <c r="F259" s="327">
        <v>6.9211100232681733E-2</v>
      </c>
      <c r="G259" s="328">
        <f t="shared" si="10"/>
        <v>4354735.5287435465</v>
      </c>
    </row>
    <row r="260" spans="1:7" x14ac:dyDescent="0.4">
      <c r="A260" s="326" t="s">
        <v>213</v>
      </c>
      <c r="B260" s="327">
        <v>6.749899994400109E-2</v>
      </c>
      <c r="C260" s="328">
        <f t="shared" si="9"/>
        <v>566268.11252838222</v>
      </c>
      <c r="F260" s="327">
        <v>5.3996207540588814E-2</v>
      </c>
      <c r="G260" s="328">
        <f t="shared" si="10"/>
        <v>3397420.3936058613</v>
      </c>
    </row>
    <row r="261" spans="1:7" x14ac:dyDescent="0.4">
      <c r="A261" s="326" t="s">
        <v>214</v>
      </c>
      <c r="B261" s="327">
        <v>2.2669000015549678E-2</v>
      </c>
      <c r="C261" s="328">
        <f t="shared" si="9"/>
        <v>190176.62279975804</v>
      </c>
      <c r="F261" s="327">
        <v>1.49266709569249E-2</v>
      </c>
      <c r="G261" s="328">
        <f t="shared" si="10"/>
        <v>939180.33557413751</v>
      </c>
    </row>
    <row r="262" spans="1:7" x14ac:dyDescent="0.4">
      <c r="A262" s="326" t="s">
        <v>215</v>
      </c>
      <c r="B262" s="327">
        <v>1.7058000247446217E-2</v>
      </c>
      <c r="C262" s="328">
        <f t="shared" si="9"/>
        <v>143104.3661631096</v>
      </c>
      <c r="F262" s="327">
        <v>2.2184966954047477E-2</v>
      </c>
      <c r="G262" s="328">
        <f t="shared" si="10"/>
        <v>1395869.4988809412</v>
      </c>
    </row>
    <row r="263" spans="1:7" x14ac:dyDescent="0.4">
      <c r="A263" s="326" t="s">
        <v>216</v>
      </c>
      <c r="B263" s="327">
        <v>8.298999899731551E-3</v>
      </c>
      <c r="C263" s="328">
        <f t="shared" si="9"/>
        <v>69622.646453918001</v>
      </c>
      <c r="F263" s="327">
        <v>6.3033882982334319E-3</v>
      </c>
      <c r="G263" s="328">
        <f t="shared" si="10"/>
        <v>396606.74200381595</v>
      </c>
    </row>
    <row r="264" spans="1:7" x14ac:dyDescent="0.4">
      <c r="A264" s="336" t="s">
        <v>176</v>
      </c>
      <c r="B264" s="337">
        <v>2.0628000182087165E-2</v>
      </c>
      <c r="C264" s="328">
        <f t="shared" si="9"/>
        <v>173054.10062425319</v>
      </c>
      <c r="D264" s="338"/>
      <c r="E264" s="338"/>
      <c r="F264" s="337">
        <v>1.2296586650428433E-2</v>
      </c>
      <c r="G264" s="328">
        <f t="shared" si="10"/>
        <v>773696.45315374655</v>
      </c>
    </row>
    <row r="265" spans="1:7" x14ac:dyDescent="0.4">
      <c r="A265" s="336" t="s">
        <v>217</v>
      </c>
      <c r="B265" s="337">
        <v>1.3638000258390626E-2</v>
      </c>
      <c r="C265" s="328">
        <f t="shared" si="9"/>
        <v>114413.02347275447</v>
      </c>
      <c r="D265" s="338"/>
      <c r="E265" s="338"/>
      <c r="F265" s="337">
        <v>1.3366981955702694E-2</v>
      </c>
      <c r="G265" s="328">
        <f t="shared" si="10"/>
        <v>841045.30976789177</v>
      </c>
    </row>
    <row r="266" spans="1:7" x14ac:dyDescent="0.4">
      <c r="A266" s="336" t="s">
        <v>218</v>
      </c>
      <c r="B266" s="337">
        <v>6.003099970182213E-2</v>
      </c>
      <c r="C266" s="328">
        <f t="shared" si="9"/>
        <v>503616.95614075317</v>
      </c>
      <c r="D266" s="338"/>
      <c r="E266" s="338"/>
      <c r="F266" s="337">
        <v>4.2700193298954359E-2</v>
      </c>
      <c r="G266" s="328">
        <f t="shared" si="10"/>
        <v>2686679.5675553833</v>
      </c>
    </row>
    <row r="267" spans="1:7" x14ac:dyDescent="0.4">
      <c r="A267" s="336" t="s">
        <v>219</v>
      </c>
      <c r="B267" s="337">
        <v>6.0379999411256163E-3</v>
      </c>
      <c r="C267" s="328">
        <f t="shared" si="9"/>
        <v>50654.481295193735</v>
      </c>
      <c r="D267" s="338"/>
      <c r="E267" s="338"/>
      <c r="F267" s="337">
        <v>8.5258291497206182E-3</v>
      </c>
      <c r="G267" s="328">
        <f t="shared" si="10"/>
        <v>536441.8566597777</v>
      </c>
    </row>
    <row r="268" spans="1:7" x14ac:dyDescent="0.4">
      <c r="A268" s="326" t="s">
        <v>220</v>
      </c>
      <c r="B268" s="327">
        <v>0</v>
      </c>
      <c r="C268" s="328">
        <f t="shared" si="9"/>
        <v>0</v>
      </c>
      <c r="F268" s="327">
        <v>4.6851126646985982E-3</v>
      </c>
      <c r="G268" s="328">
        <f t="shared" si="10"/>
        <v>294785.46806131012</v>
      </c>
    </row>
    <row r="269" spans="1:7" x14ac:dyDescent="0.4">
      <c r="A269" s="326" t="s">
        <v>221</v>
      </c>
      <c r="B269" s="327">
        <v>5.4999775096408863E-5</v>
      </c>
      <c r="C269" s="328">
        <f t="shared" si="9"/>
        <v>461.40859655946531</v>
      </c>
      <c r="F269" s="327">
        <v>1.1626232327103573E-4</v>
      </c>
      <c r="G269" s="328">
        <f t="shared" si="10"/>
        <v>7315.180196536945</v>
      </c>
    </row>
    <row r="270" spans="1:7" x14ac:dyDescent="0.4">
      <c r="A270" s="326" t="s">
        <v>222</v>
      </c>
      <c r="B270" s="327">
        <v>1.2740003986348775E-3</v>
      </c>
      <c r="C270" s="328">
        <f t="shared" si="9"/>
        <v>10687.947994694619</v>
      </c>
      <c r="F270" s="327">
        <v>1.7849168257932531E-3</v>
      </c>
      <c r="G270" s="328">
        <f t="shared" si="10"/>
        <v>112306.27299670741</v>
      </c>
    </row>
    <row r="271" spans="1:7" x14ac:dyDescent="0.4">
      <c r="A271" s="326" t="s">
        <v>223</v>
      </c>
      <c r="B271" s="327">
        <v>1.1397999636321661E-2</v>
      </c>
      <c r="C271" s="328">
        <f t="shared" si="9"/>
        <v>95621.027659872416</v>
      </c>
      <c r="F271" s="327">
        <v>8.0263018126224637E-3</v>
      </c>
      <c r="G271" s="328">
        <f t="shared" si="10"/>
        <v>505011.79074366327</v>
      </c>
    </row>
    <row r="272" spans="1:7" x14ac:dyDescent="0.4">
      <c r="A272" s="326" t="s">
        <v>224</v>
      </c>
      <c r="B272" s="327">
        <v>1.4353000408917299E-2</v>
      </c>
      <c r="C272" s="328">
        <f t="shared" si="9"/>
        <v>120411.36101897217</v>
      </c>
      <c r="F272" s="327">
        <v>8.665247446452768E-3</v>
      </c>
      <c r="G272" s="328">
        <f t="shared" si="10"/>
        <v>545214.00170725246</v>
      </c>
    </row>
    <row r="273" spans="1:7" x14ac:dyDescent="0.4">
      <c r="A273" s="326" t="s">
        <v>225</v>
      </c>
      <c r="B273" s="327">
        <v>9.2999997005657753E-3</v>
      </c>
      <c r="C273" s="328">
        <f t="shared" si="9"/>
        <v>78020.31557983013</v>
      </c>
      <c r="F273" s="327">
        <v>1.798205105941118E-2</v>
      </c>
      <c r="G273" s="328">
        <f t="shared" si="10"/>
        <v>1131423.6641931247</v>
      </c>
    </row>
    <row r="274" spans="1:7" x14ac:dyDescent="0.4">
      <c r="A274" s="326" t="s">
        <v>226</v>
      </c>
      <c r="B274" s="327">
        <v>1.1110003757848286E-3</v>
      </c>
      <c r="C274" s="328">
        <f t="shared" si="9"/>
        <v>9320.4949160126198</v>
      </c>
      <c r="F274" s="327">
        <v>2.3424188098544706E-3</v>
      </c>
      <c r="G274" s="328">
        <f t="shared" si="10"/>
        <v>147384.08116872661</v>
      </c>
    </row>
    <row r="275" spans="1:7" x14ac:dyDescent="0.4">
      <c r="A275" s="326" t="s">
        <v>227</v>
      </c>
      <c r="B275" s="327">
        <v>1.1389998327533809E-3</v>
      </c>
      <c r="C275" s="328">
        <f t="shared" si="9"/>
        <v>9555.3902427960638</v>
      </c>
      <c r="F275" s="327">
        <v>2.1884392515262971E-3</v>
      </c>
      <c r="G275" s="328">
        <f t="shared" si="10"/>
        <v>137695.74720065447</v>
      </c>
    </row>
    <row r="276" spans="1:7" x14ac:dyDescent="0.4">
      <c r="A276" s="326" t="s">
        <v>228</v>
      </c>
      <c r="B276" s="327">
        <v>0</v>
      </c>
      <c r="C276" s="328">
        <f t="shared" si="9"/>
        <v>0</v>
      </c>
      <c r="F276" s="327">
        <v>9.1759025600276687E-4</v>
      </c>
      <c r="G276" s="328">
        <f t="shared" si="10"/>
        <v>57734.422299463375</v>
      </c>
    </row>
    <row r="277" spans="1:7" x14ac:dyDescent="0.4">
      <c r="A277" s="326" t="s">
        <v>229</v>
      </c>
      <c r="B277" s="327">
        <v>1.1402000290715588E-2</v>
      </c>
      <c r="C277" s="328">
        <f t="shared" si="9"/>
        <v>95654.590275828305</v>
      </c>
      <c r="F277" s="327">
        <v>1.907704410403372E-2</v>
      </c>
      <c r="G277" s="328">
        <f t="shared" si="10"/>
        <v>1200320.2010075068</v>
      </c>
    </row>
    <row r="278" spans="1:7" x14ac:dyDescent="0.4">
      <c r="A278" s="326" t="s">
        <v>230</v>
      </c>
      <c r="B278" s="327">
        <v>2.0589997039618226E-3</v>
      </c>
      <c r="C278" s="328">
        <f t="shared" si="9"/>
        <v>17273.528156361692</v>
      </c>
      <c r="F278" s="327">
        <v>2.3966854732460838E-3</v>
      </c>
      <c r="G278" s="328">
        <f t="shared" si="10"/>
        <v>150798.51853937015</v>
      </c>
    </row>
    <row r="279" spans="1:7" x14ac:dyDescent="0.4">
      <c r="A279" s="326" t="s">
        <v>231</v>
      </c>
      <c r="B279" s="327">
        <v>2.2509000483495072E-2</v>
      </c>
      <c r="C279" s="328">
        <f t="shared" si="9"/>
        <v>188834.34168304293</v>
      </c>
      <c r="F279" s="327">
        <v>1.2200210366841817E-2</v>
      </c>
      <c r="G279" s="328">
        <f t="shared" si="10"/>
        <v>767632.49484573049</v>
      </c>
    </row>
    <row r="280" spans="1:7" x14ac:dyDescent="0.4">
      <c r="A280" s="326" t="s">
        <v>232</v>
      </c>
      <c r="B280" s="327">
        <v>5.4909996066836156E-3</v>
      </c>
      <c r="C280" s="328">
        <f t="shared" si="9"/>
        <v>46065.541500621352</v>
      </c>
      <c r="F280" s="327">
        <v>8.10894483890383E-3</v>
      </c>
      <c r="G280" s="328">
        <f t="shared" si="10"/>
        <v>510211.65783926554</v>
      </c>
    </row>
    <row r="281" spans="1:7" x14ac:dyDescent="0.4">
      <c r="A281" s="326" t="s">
        <v>233</v>
      </c>
      <c r="B281" s="327">
        <v>1.086999523694631E-3</v>
      </c>
      <c r="C281" s="328">
        <f t="shared" si="9"/>
        <v>9119.1450112219645</v>
      </c>
      <c r="F281" s="327">
        <v>1.9385839013140009E-3</v>
      </c>
      <c r="G281" s="328">
        <f t="shared" si="10"/>
        <v>121974.94566797827</v>
      </c>
    </row>
    <row r="282" spans="1:7" x14ac:dyDescent="0.4">
      <c r="A282" s="326" t="s">
        <v>135</v>
      </c>
      <c r="B282" s="327">
        <v>0</v>
      </c>
      <c r="C282" s="328">
        <f t="shared" si="9"/>
        <v>0</v>
      </c>
      <c r="F282" s="327">
        <v>0</v>
      </c>
      <c r="G282" s="328">
        <f t="shared" si="10"/>
        <v>0</v>
      </c>
    </row>
    <row r="283" spans="1:7" x14ac:dyDescent="0.4">
      <c r="A283" s="326" t="s">
        <v>136</v>
      </c>
      <c r="B283" s="353">
        <f>SUM(B224:B282)</f>
        <v>1</v>
      </c>
      <c r="C283" s="335">
        <f>SUM(C224:C282)</f>
        <v>8389281.5152546391</v>
      </c>
      <c r="F283" s="353">
        <f>SUM(F224:F282)</f>
        <v>1.0000000000000002</v>
      </c>
      <c r="G283" s="335">
        <f>SUM(G224:G282)</f>
        <v>62919611.364409782</v>
      </c>
    </row>
    <row r="293" spans="1:7" x14ac:dyDescent="0.45">
      <c r="A293" s="734" t="s">
        <v>141</v>
      </c>
      <c r="B293" s="734"/>
      <c r="C293" s="734"/>
      <c r="D293" s="734"/>
      <c r="E293" s="734"/>
      <c r="F293" s="734"/>
      <c r="G293" s="734"/>
    </row>
    <row r="294" spans="1:7" ht="15" customHeight="1" x14ac:dyDescent="0.45">
      <c r="A294" s="733"/>
      <c r="B294" s="733"/>
      <c r="C294" s="733"/>
      <c r="D294" s="733"/>
      <c r="E294" s="733"/>
      <c r="F294" s="733"/>
      <c r="G294" s="733"/>
    </row>
    <row r="295" spans="1:7" x14ac:dyDescent="0.45">
      <c r="A295" s="16"/>
      <c r="B295" s="16"/>
      <c r="C295" s="16"/>
      <c r="D295" s="16"/>
      <c r="E295" s="16"/>
      <c r="F295" s="16"/>
      <c r="G295" s="16"/>
    </row>
    <row r="296" spans="1:7" x14ac:dyDescent="0.45">
      <c r="B296" s="339" t="s">
        <v>152</v>
      </c>
      <c r="C296" s="343">
        <f>B25</f>
        <v>4194640.7576273195</v>
      </c>
      <c r="D296" s="16"/>
      <c r="E296" s="16"/>
      <c r="F296" s="295" t="s">
        <v>105</v>
      </c>
      <c r="G296" s="340">
        <f>B26</f>
        <v>8389281.5152546391</v>
      </c>
    </row>
    <row r="297" spans="1:7" ht="14.65" thickBot="1" x14ac:dyDescent="0.5">
      <c r="A297" s="16"/>
      <c r="B297" s="16"/>
      <c r="C297" s="16"/>
      <c r="D297" s="16"/>
      <c r="E297" s="16"/>
      <c r="F297" s="341"/>
    </row>
    <row r="298" spans="1:7" ht="15.75" customHeight="1" thickBot="1" x14ac:dyDescent="0.5">
      <c r="A298" s="16"/>
      <c r="B298" s="731" t="s">
        <v>151</v>
      </c>
      <c r="C298" s="732"/>
      <c r="D298" s="16"/>
      <c r="E298" s="16"/>
      <c r="F298" s="731" t="s">
        <v>105</v>
      </c>
      <c r="G298" s="732"/>
    </row>
    <row r="299" spans="1:7" ht="6" customHeight="1" thickBot="1" x14ac:dyDescent="0.5">
      <c r="A299" s="16"/>
      <c r="B299" s="333"/>
      <c r="C299" s="162"/>
      <c r="D299" s="16"/>
      <c r="E299" s="16"/>
      <c r="F299" s="333"/>
      <c r="G299" s="162"/>
    </row>
    <row r="300" spans="1:7" x14ac:dyDescent="0.45">
      <c r="A300" s="345"/>
      <c r="B300" s="456"/>
      <c r="C300" s="328"/>
      <c r="F300" s="456"/>
      <c r="G300" s="328"/>
    </row>
    <row r="301" spans="1:7" x14ac:dyDescent="0.4">
      <c r="A301" s="336" t="s">
        <v>177</v>
      </c>
      <c r="B301" s="327">
        <v>2.7150512777420966E-2</v>
      </c>
      <c r="C301" s="328">
        <f>IF(B301="TBD","TBD",C$296*B301)</f>
        <v>113886.6474866513</v>
      </c>
      <c r="F301" s="379">
        <f>IF(G301="TBD","TBD",G301/G$296)</f>
        <v>3.6505620881199949E-2</v>
      </c>
      <c r="G301" s="328">
        <f>IF(G378="TBD","TBD",C378+G378)</f>
        <v>306255.93046154449</v>
      </c>
    </row>
    <row r="302" spans="1:7" x14ac:dyDescent="0.4">
      <c r="A302" s="326" t="s">
        <v>178</v>
      </c>
      <c r="B302" s="327">
        <v>2.1244458599218783E-4</v>
      </c>
      <c r="C302" s="328">
        <f t="shared" ref="C302:C359" si="11">IF(B302="TBD","TBD",C$296*B302)</f>
        <v>891.12871914009293</v>
      </c>
      <c r="F302" s="379">
        <f t="shared" ref="F302:F359" si="12">IF(G302="TBD","TBD",G302/G$296)</f>
        <v>1.1158228857564697E-3</v>
      </c>
      <c r="G302" s="328">
        <f t="shared" ref="G302:G359" si="13">IF(G379="TBD","TBD",C379+G379)</f>
        <v>9360.9523097748406</v>
      </c>
    </row>
    <row r="303" spans="1:7" x14ac:dyDescent="0.4">
      <c r="A303" s="326" t="s">
        <v>179</v>
      </c>
      <c r="B303" s="327">
        <v>1.5088841058524211E-3</v>
      </c>
      <c r="C303" s="328">
        <f t="shared" si="11"/>
        <v>6329.2267689446198</v>
      </c>
      <c r="F303" s="379">
        <f t="shared" si="12"/>
        <v>1.1158228857564697E-3</v>
      </c>
      <c r="G303" s="328">
        <f t="shared" si="13"/>
        <v>9360.9523097748406</v>
      </c>
    </row>
    <row r="304" spans="1:7" x14ac:dyDescent="0.4">
      <c r="A304" s="326" t="s">
        <v>180</v>
      </c>
      <c r="B304" s="327">
        <v>7.5819717535477128E-3</v>
      </c>
      <c r="C304" s="328">
        <f t="shared" si="11"/>
        <v>31803.647740610315</v>
      </c>
      <c r="F304" s="379">
        <f t="shared" si="12"/>
        <v>5.0925993983734052E-3</v>
      </c>
      <c r="G304" s="328">
        <f t="shared" si="13"/>
        <v>42723.249997370905</v>
      </c>
    </row>
    <row r="305" spans="1:7" x14ac:dyDescent="0.4">
      <c r="A305" s="326" t="s">
        <v>181</v>
      </c>
      <c r="B305" s="327">
        <v>9.8388429630365541E-4</v>
      </c>
      <c r="C305" s="328">
        <f t="shared" si="11"/>
        <v>4127.0411700647874</v>
      </c>
      <c r="F305" s="379">
        <f t="shared" si="12"/>
        <v>1.1158228857564697E-3</v>
      </c>
      <c r="G305" s="328">
        <f t="shared" si="13"/>
        <v>9360.9523097748406</v>
      </c>
    </row>
    <row r="306" spans="1:7" x14ac:dyDescent="0.4">
      <c r="A306" s="326" t="s">
        <v>182</v>
      </c>
      <c r="B306" s="327">
        <v>5.9302733037006593E-4</v>
      </c>
      <c r="C306" s="328">
        <f t="shared" si="11"/>
        <v>2487.5366103572001</v>
      </c>
      <c r="F306" s="379">
        <f t="shared" si="12"/>
        <v>1.1158228857564697E-3</v>
      </c>
      <c r="G306" s="328">
        <f t="shared" si="13"/>
        <v>9360.9523097748406</v>
      </c>
    </row>
    <row r="307" spans="1:7" x14ac:dyDescent="0.4">
      <c r="A307" s="326" t="s">
        <v>183</v>
      </c>
      <c r="B307" s="327">
        <v>1.4204856299681169E-2</v>
      </c>
      <c r="C307" s="328">
        <f t="shared" si="11"/>
        <v>59584.269190881823</v>
      </c>
      <c r="F307" s="379">
        <f t="shared" si="12"/>
        <v>2.451716298076571E-2</v>
      </c>
      <c r="G307" s="328">
        <f t="shared" si="13"/>
        <v>205681.38220102311</v>
      </c>
    </row>
    <row r="308" spans="1:7" x14ac:dyDescent="0.4">
      <c r="A308" s="326" t="s">
        <v>184</v>
      </c>
      <c r="B308" s="327">
        <v>6.2786294652455012E-4</v>
      </c>
      <c r="C308" s="328">
        <f t="shared" si="11"/>
        <v>2633.6595056958599</v>
      </c>
      <c r="F308" s="379">
        <f t="shared" si="12"/>
        <v>1.1158228857564697E-3</v>
      </c>
      <c r="G308" s="328">
        <f t="shared" si="13"/>
        <v>9360.9523097748406</v>
      </c>
    </row>
    <row r="309" spans="1:7" x14ac:dyDescent="0.4">
      <c r="A309" s="326" t="s">
        <v>185</v>
      </c>
      <c r="B309" s="327">
        <v>3.4863633032335122E-3</v>
      </c>
      <c r="C309" s="328">
        <f t="shared" si="11"/>
        <v>14624.041607639505</v>
      </c>
      <c r="F309" s="379">
        <f t="shared" si="12"/>
        <v>3.677104543762457E-3</v>
      </c>
      <c r="G309" s="328">
        <f t="shared" si="13"/>
        <v>30848.265178645222</v>
      </c>
    </row>
    <row r="310" spans="1:7" x14ac:dyDescent="0.4">
      <c r="A310" s="326" t="s">
        <v>186</v>
      </c>
      <c r="B310" s="327">
        <v>2.4908521050975109E-2</v>
      </c>
      <c r="C310" s="328">
        <f t="shared" si="11"/>
        <v>104482.29761263827</v>
      </c>
      <c r="F310" s="379">
        <f t="shared" si="12"/>
        <v>3.8081646093275967E-2</v>
      </c>
      <c r="G310" s="328">
        <f t="shared" si="13"/>
        <v>319477.64964078914</v>
      </c>
    </row>
    <row r="311" spans="1:7" x14ac:dyDescent="0.4">
      <c r="A311" s="326" t="s">
        <v>187</v>
      </c>
      <c r="B311" s="327">
        <v>9.1560878409830554E-4</v>
      </c>
      <c r="C311" s="328">
        <f t="shared" si="11"/>
        <v>3840.6499238203451</v>
      </c>
      <c r="F311" s="379">
        <f t="shared" si="12"/>
        <v>1.1972593624063545E-3</v>
      </c>
      <c r="G311" s="328">
        <f t="shared" si="13"/>
        <v>10044.145838001185</v>
      </c>
    </row>
    <row r="312" spans="1:7" x14ac:dyDescent="0.4">
      <c r="A312" s="326" t="s">
        <v>188</v>
      </c>
      <c r="B312" s="327">
        <v>4.2641032244091848E-3</v>
      </c>
      <c r="C312" s="328">
        <f t="shared" si="11"/>
        <v>17886.381179836841</v>
      </c>
      <c r="F312" s="379">
        <f t="shared" si="12"/>
        <v>2.6000000816229938E-3</v>
      </c>
      <c r="G312" s="328">
        <f t="shared" si="13"/>
        <v>21812.132624420334</v>
      </c>
    </row>
    <row r="313" spans="1:7" x14ac:dyDescent="0.4">
      <c r="A313" s="326" t="s">
        <v>189</v>
      </c>
      <c r="B313" s="327">
        <v>3.6655073602336395E-3</v>
      </c>
      <c r="C313" s="328">
        <f t="shared" si="11"/>
        <v>15375.48657061895</v>
      </c>
      <c r="F313" s="379">
        <f t="shared" si="12"/>
        <v>4.4660481414680051E-3</v>
      </c>
      <c r="G313" s="328">
        <f t="shared" si="13"/>
        <v>37466.935119454873</v>
      </c>
    </row>
    <row r="314" spans="1:7" x14ac:dyDescent="0.4">
      <c r="A314" s="326" t="s">
        <v>190</v>
      </c>
      <c r="B314" s="327">
        <v>5.2988995370035704E-4</v>
      </c>
      <c r="C314" s="328">
        <f t="shared" si="11"/>
        <v>2222.6979968487708</v>
      </c>
      <c r="F314" s="379">
        <f t="shared" si="12"/>
        <v>1.1158228857564697E-3</v>
      </c>
      <c r="G314" s="328">
        <f t="shared" si="13"/>
        <v>9360.9523097748406</v>
      </c>
    </row>
    <row r="315" spans="1:7" x14ac:dyDescent="0.4">
      <c r="A315" s="326" t="s">
        <v>191</v>
      </c>
      <c r="B315" s="327">
        <v>3.0220342783651679E-2</v>
      </c>
      <c r="C315" s="328">
        <f t="shared" si="11"/>
        <v>126763.48154977398</v>
      </c>
      <c r="F315" s="379">
        <f t="shared" si="12"/>
        <v>4.0519540766591623E-2</v>
      </c>
      <c r="G315" s="328">
        <f t="shared" si="13"/>
        <v>339929.8343597739</v>
      </c>
    </row>
    <row r="316" spans="1:7" x14ac:dyDescent="0.4">
      <c r="A316" s="326" t="s">
        <v>192</v>
      </c>
      <c r="B316" s="327">
        <v>7.9594453828049014E-3</v>
      </c>
      <c r="C316" s="328">
        <f t="shared" si="11"/>
        <v>33387.014010822022</v>
      </c>
      <c r="F316" s="379">
        <f t="shared" si="12"/>
        <v>5.6941711599466831E-3</v>
      </c>
      <c r="G316" s="328">
        <f t="shared" si="13"/>
        <v>47770.004856836778</v>
      </c>
    </row>
    <row r="317" spans="1:7" x14ac:dyDescent="0.4">
      <c r="A317" s="326" t="s">
        <v>193</v>
      </c>
      <c r="B317" s="327">
        <v>2.282772987270826E-3</v>
      </c>
      <c r="C317" s="328">
        <f t="shared" si="11"/>
        <v>9575.4126128168773</v>
      </c>
      <c r="F317" s="379">
        <f t="shared" si="12"/>
        <v>1.2849314899593656E-3</v>
      </c>
      <c r="G317" s="328">
        <f t="shared" si="13"/>
        <v>10779.651997084708</v>
      </c>
    </row>
    <row r="318" spans="1:7" x14ac:dyDescent="0.4">
      <c r="A318" s="326" t="s">
        <v>194</v>
      </c>
      <c r="B318" s="327">
        <v>1.0647868739398331E-3</v>
      </c>
      <c r="C318" s="328">
        <f t="shared" si="11"/>
        <v>4466.3984196146066</v>
      </c>
      <c r="F318" s="379">
        <f t="shared" si="12"/>
        <v>1.1158228857564697E-3</v>
      </c>
      <c r="G318" s="328">
        <f t="shared" si="13"/>
        <v>9360.9523097748406</v>
      </c>
    </row>
    <row r="319" spans="1:7" x14ac:dyDescent="0.4">
      <c r="A319" s="326" t="s">
        <v>195</v>
      </c>
      <c r="B319" s="327">
        <v>0.31769200641194228</v>
      </c>
      <c r="C319" s="328">
        <f t="shared" si="11"/>
        <v>1332603.8384679328</v>
      </c>
      <c r="F319" s="379">
        <f t="shared" si="12"/>
        <v>0.25742714161067026</v>
      </c>
      <c r="G319" s="328">
        <f t="shared" si="13"/>
        <v>2159628.7606392344</v>
      </c>
    </row>
    <row r="320" spans="1:7" x14ac:dyDescent="0.4">
      <c r="A320" s="326" t="s">
        <v>196</v>
      </c>
      <c r="B320" s="327">
        <v>4.6762464590596343E-3</v>
      </c>
      <c r="C320" s="328">
        <f t="shared" si="11"/>
        <v>19615.173989881976</v>
      </c>
      <c r="F320" s="379">
        <f t="shared" si="12"/>
        <v>5.2092793445514133E-3</v>
      </c>
      <c r="G320" s="328">
        <f t="shared" si="13"/>
        <v>43702.110913042976</v>
      </c>
    </row>
    <row r="321" spans="1:7" x14ac:dyDescent="0.4">
      <c r="A321" s="326" t="s">
        <v>197</v>
      </c>
      <c r="B321" s="327">
        <v>3.9065283418275205E-3</v>
      </c>
      <c r="C321" s="328">
        <f t="shared" si="11"/>
        <v>16386.483003455985</v>
      </c>
      <c r="F321" s="379">
        <f t="shared" si="12"/>
        <v>6.2076250221336582E-3</v>
      </c>
      <c r="G321" s="328">
        <f t="shared" si="13"/>
        <v>52077.513851818068</v>
      </c>
    </row>
    <row r="322" spans="1:7" x14ac:dyDescent="0.4">
      <c r="A322" s="326" t="s">
        <v>198</v>
      </c>
      <c r="B322" s="327">
        <v>4.5854016813901921E-4</v>
      </c>
      <c r="C322" s="328">
        <f t="shared" si="11"/>
        <v>1923.4112782852139</v>
      </c>
      <c r="F322" s="379">
        <f t="shared" si="12"/>
        <v>1.1158228857564697E-3</v>
      </c>
      <c r="G322" s="328">
        <f t="shared" si="13"/>
        <v>9360.9523097748406</v>
      </c>
    </row>
    <row r="323" spans="1:7" x14ac:dyDescent="0.4">
      <c r="A323" s="326" t="s">
        <v>199</v>
      </c>
      <c r="B323" s="327">
        <v>2.7585413832968012E-3</v>
      </c>
      <c r="C323" s="328">
        <f t="shared" si="11"/>
        <v>11571.090117978409</v>
      </c>
      <c r="F323" s="379">
        <f t="shared" si="12"/>
        <v>1.3718791135385819E-3</v>
      </c>
      <c r="G323" s="328">
        <f t="shared" si="13"/>
        <v>11509.080088373144</v>
      </c>
    </row>
    <row r="324" spans="1:7" x14ac:dyDescent="0.4">
      <c r="A324" s="326" t="s">
        <v>200</v>
      </c>
      <c r="B324" s="327">
        <v>6.9383910721117813E-3</v>
      </c>
      <c r="C324" s="328">
        <f t="shared" si="11"/>
        <v>29104.057983437593</v>
      </c>
      <c r="F324" s="379">
        <f t="shared" si="12"/>
        <v>1.0110876191717062E-2</v>
      </c>
      <c r="G324" s="328">
        <f t="shared" si="13"/>
        <v>84822.986738200168</v>
      </c>
    </row>
    <row r="325" spans="1:7" x14ac:dyDescent="0.4">
      <c r="A325" s="326" t="s">
        <v>201</v>
      </c>
      <c r="B325" s="327">
        <v>2.1452689381197697E-4</v>
      </c>
      <c r="C325" s="328">
        <f t="shared" si="11"/>
        <v>899.86325239090661</v>
      </c>
      <c r="F325" s="379">
        <f t="shared" si="12"/>
        <v>1.1158228857564697E-3</v>
      </c>
      <c r="G325" s="328">
        <f t="shared" si="13"/>
        <v>9360.9523097748406</v>
      </c>
    </row>
    <row r="326" spans="1:7" x14ac:dyDescent="0.4">
      <c r="A326" s="326" t="s">
        <v>202</v>
      </c>
      <c r="B326" s="327">
        <v>2.9080781383631943E-4</v>
      </c>
      <c r="C326" s="328">
        <f t="shared" si="11"/>
        <v>1219.8343085543233</v>
      </c>
      <c r="F326" s="379">
        <f t="shared" si="12"/>
        <v>1.1158228857564697E-3</v>
      </c>
      <c r="G326" s="328">
        <f t="shared" si="13"/>
        <v>9360.9523097748406</v>
      </c>
    </row>
    <row r="327" spans="1:7" x14ac:dyDescent="0.4">
      <c r="A327" s="326" t="s">
        <v>203</v>
      </c>
      <c r="B327" s="327">
        <v>1.0669560812198182E-2</v>
      </c>
      <c r="C327" s="328">
        <f t="shared" si="11"/>
        <v>44754.974648829739</v>
      </c>
      <c r="F327" s="379">
        <f t="shared" si="12"/>
        <v>1.3411625118154632E-2</v>
      </c>
      <c r="G327" s="328">
        <f t="shared" si="13"/>
        <v>112513.89869325947</v>
      </c>
    </row>
    <row r="328" spans="1:7" x14ac:dyDescent="0.4">
      <c r="A328" s="326" t="s">
        <v>204</v>
      </c>
      <c r="B328" s="327">
        <v>2.9635339306740747E-3</v>
      </c>
      <c r="C328" s="328">
        <f t="shared" si="11"/>
        <v>12430.960212216969</v>
      </c>
      <c r="F328" s="379">
        <f t="shared" si="12"/>
        <v>4.1939216620987523E-3</v>
      </c>
      <c r="G328" s="328">
        <f t="shared" si="13"/>
        <v>35183.989476271076</v>
      </c>
    </row>
    <row r="329" spans="1:7" x14ac:dyDescent="0.4">
      <c r="A329" s="326" t="s">
        <v>205</v>
      </c>
      <c r="B329" s="327">
        <v>1.5380692075785997E-3</v>
      </c>
      <c r="C329" s="328">
        <f t="shared" si="11"/>
        <v>6451.6477861607482</v>
      </c>
      <c r="F329" s="379">
        <f t="shared" si="12"/>
        <v>1.5070108483964829E-3</v>
      </c>
      <c r="G329" s="328">
        <f t="shared" si="13"/>
        <v>12642.738253740825</v>
      </c>
    </row>
    <row r="330" spans="1:7" x14ac:dyDescent="0.4">
      <c r="A330" s="326" t="s">
        <v>206</v>
      </c>
      <c r="B330" s="327">
        <v>6.5353897016642543E-2</v>
      </c>
      <c r="C330" s="328">
        <f t="shared" si="11"/>
        <v>274136.12009578728</v>
      </c>
      <c r="F330" s="379">
        <f t="shared" si="12"/>
        <v>8.2564100432035867E-2</v>
      </c>
      <c r="G330" s="328">
        <f t="shared" si="13"/>
        <v>692653.48157810606</v>
      </c>
    </row>
    <row r="331" spans="1:7" x14ac:dyDescent="0.4">
      <c r="A331" s="326" t="s">
        <v>207</v>
      </c>
      <c r="B331" s="327">
        <v>8.2872817944563103E-3</v>
      </c>
      <c r="C331" s="328">
        <f t="shared" si="11"/>
        <v>34762.16998496931</v>
      </c>
      <c r="F331" s="379">
        <f t="shared" si="12"/>
        <v>6.0992999263978706E-3</v>
      </c>
      <c r="G331" s="328">
        <f t="shared" si="13"/>
        <v>51168.744128523635</v>
      </c>
    </row>
    <row r="332" spans="1:7" x14ac:dyDescent="0.4">
      <c r="A332" s="326" t="s">
        <v>208</v>
      </c>
      <c r="B332" s="327">
        <v>4.3243753783111128E-4</v>
      </c>
      <c r="C332" s="328">
        <f t="shared" si="11"/>
        <v>1813.9201213143854</v>
      </c>
      <c r="F332" s="379">
        <f t="shared" si="12"/>
        <v>1.1158228857564697E-3</v>
      </c>
      <c r="G332" s="328">
        <f t="shared" si="13"/>
        <v>9360.9523097748406</v>
      </c>
    </row>
    <row r="333" spans="1:7" x14ac:dyDescent="0.4">
      <c r="A333" s="326" t="s">
        <v>209</v>
      </c>
      <c r="B333" s="327">
        <v>5.8408369531313724E-2</v>
      </c>
      <c r="C333" s="328">
        <f t="shared" si="11"/>
        <v>245002.12742260625</v>
      </c>
      <c r="F333" s="379">
        <f t="shared" si="12"/>
        <v>6.1616668903749582E-2</v>
      </c>
      <c r="G333" s="328">
        <f t="shared" si="13"/>
        <v>516919.58146579168</v>
      </c>
    </row>
    <row r="334" spans="1:7" x14ac:dyDescent="0.4">
      <c r="A334" s="326" t="s">
        <v>210</v>
      </c>
      <c r="B334" s="327">
        <v>3.6596082395666134E-2</v>
      </c>
      <c r="C334" s="328">
        <f t="shared" si="11"/>
        <v>153507.4187863488</v>
      </c>
      <c r="F334" s="379">
        <f t="shared" si="12"/>
        <v>4.2941147931771631E-2</v>
      </c>
      <c r="G334" s="328">
        <f t="shared" si="13"/>
        <v>360245.37858782674</v>
      </c>
    </row>
    <row r="335" spans="1:7" x14ac:dyDescent="0.4">
      <c r="A335" s="326" t="s">
        <v>211</v>
      </c>
      <c r="B335" s="327">
        <v>1.5139853501077904E-3</v>
      </c>
      <c r="C335" s="328">
        <f t="shared" si="11"/>
        <v>6350.6246560128047</v>
      </c>
      <c r="F335" s="379">
        <f t="shared" si="12"/>
        <v>1.3601323157061238E-3</v>
      </c>
      <c r="G335" s="328">
        <f t="shared" si="13"/>
        <v>11410.532894453871</v>
      </c>
    </row>
    <row r="336" spans="1:7" x14ac:dyDescent="0.4">
      <c r="A336" s="326" t="s">
        <v>212</v>
      </c>
      <c r="B336" s="327">
        <v>7.1929855854270211E-2</v>
      </c>
      <c r="C336" s="328">
        <f t="shared" si="11"/>
        <v>301719.90505657991</v>
      </c>
      <c r="F336" s="379">
        <f t="shared" si="12"/>
        <v>7.4417358018164015E-2</v>
      </c>
      <c r="G336" s="328">
        <f t="shared" si="13"/>
        <v>624308.16603586997</v>
      </c>
    </row>
    <row r="337" spans="1:7" x14ac:dyDescent="0.4">
      <c r="A337" s="326" t="s">
        <v>213</v>
      </c>
      <c r="B337" s="327">
        <v>7.076838308328455E-2</v>
      </c>
      <c r="C337" s="328">
        <f t="shared" si="11"/>
        <v>296847.94403252908</v>
      </c>
      <c r="F337" s="379">
        <f t="shared" si="12"/>
        <v>5.6222131813451197E-2</v>
      </c>
      <c r="G337" s="328">
        <f t="shared" si="13"/>
        <v>471663.29117079591</v>
      </c>
    </row>
    <row r="338" spans="1:7" x14ac:dyDescent="0.4">
      <c r="A338" s="326" t="s">
        <v>214</v>
      </c>
      <c r="B338" s="327">
        <v>1.50349941359363E-2</v>
      </c>
      <c r="C338" s="328">
        <f t="shared" si="11"/>
        <v>63066.399193286146</v>
      </c>
      <c r="F338" s="379">
        <f t="shared" si="12"/>
        <v>1.2567612057184204E-2</v>
      </c>
      <c r="G338" s="328">
        <f t="shared" si="13"/>
        <v>105433.23552222677</v>
      </c>
    </row>
    <row r="339" spans="1:7" x14ac:dyDescent="0.4">
      <c r="A339" s="326" t="s">
        <v>215</v>
      </c>
      <c r="B339" s="327">
        <v>1.8942307442227378E-2</v>
      </c>
      <c r="C339" s="328">
        <f t="shared" si="11"/>
        <v>79456.17484067427</v>
      </c>
      <c r="F339" s="379">
        <f t="shared" si="12"/>
        <v>2.0765344368348683E-2</v>
      </c>
      <c r="G339" s="328">
        <f t="shared" si="13"/>
        <v>174206.31966728464</v>
      </c>
    </row>
    <row r="340" spans="1:7" x14ac:dyDescent="0.4">
      <c r="A340" s="326" t="s">
        <v>216</v>
      </c>
      <c r="B340" s="327">
        <v>6.2024100306882785E-3</v>
      </c>
      <c r="C340" s="328">
        <f t="shared" si="11"/>
        <v>26016.881910241565</v>
      </c>
      <c r="F340" s="379">
        <f t="shared" si="12"/>
        <v>5.588772771804796E-3</v>
      </c>
      <c r="G340" s="328">
        <f t="shared" si="13"/>
        <v>46885.788107460408</v>
      </c>
    </row>
    <row r="341" spans="1:7" x14ac:dyDescent="0.4">
      <c r="A341" s="336" t="s">
        <v>176</v>
      </c>
      <c r="B341" s="327">
        <v>1.2445013111232743E-2</v>
      </c>
      <c r="C341" s="328">
        <f t="shared" si="11"/>
        <v>52202.359225583241</v>
      </c>
      <c r="D341" s="338"/>
      <c r="E341" s="338"/>
      <c r="F341" s="379">
        <f t="shared" si="12"/>
        <v>1.5195666934010026E-2</v>
      </c>
      <c r="G341" s="328">
        <f t="shared" si="13"/>
        <v>127480.72772145644</v>
      </c>
    </row>
    <row r="342" spans="1:7" x14ac:dyDescent="0.4">
      <c r="A342" s="336" t="s">
        <v>217</v>
      </c>
      <c r="B342" s="327">
        <v>1.0753966011944614E-2</v>
      </c>
      <c r="C342" s="328">
        <f t="shared" si="11"/>
        <v>45109.0241398418</v>
      </c>
      <c r="D342" s="338"/>
      <c r="E342" s="338"/>
      <c r="F342" s="379">
        <f t="shared" si="12"/>
        <v>1.0398323822096401E-2</v>
      </c>
      <c r="G342" s="328">
        <f t="shared" si="13"/>
        <v>87234.465830345303</v>
      </c>
    </row>
    <row r="343" spans="1:7" x14ac:dyDescent="0.4">
      <c r="A343" s="336" t="s">
        <v>218</v>
      </c>
      <c r="B343" s="327">
        <v>3.6062595542139267E-2</v>
      </c>
      <c r="C343" s="328">
        <f t="shared" si="11"/>
        <v>151269.63308688666</v>
      </c>
      <c r="D343" s="338"/>
      <c r="E343" s="338"/>
      <c r="F343" s="379">
        <f t="shared" si="12"/>
        <v>3.2872671094514631E-2</v>
      </c>
      <c r="G343" s="328">
        <f t="shared" si="13"/>
        <v>275778.09197025705</v>
      </c>
    </row>
    <row r="344" spans="1:7" x14ac:dyDescent="0.4">
      <c r="A344" s="336" t="s">
        <v>219</v>
      </c>
      <c r="B344" s="327">
        <v>4.8811775209697877E-3</v>
      </c>
      <c r="C344" s="328">
        <f t="shared" si="11"/>
        <v>20474.786174674151</v>
      </c>
      <c r="D344" s="338"/>
      <c r="E344" s="338"/>
      <c r="F344" s="379">
        <f t="shared" si="12"/>
        <v>5.2956910198089825E-3</v>
      </c>
      <c r="G344" s="328">
        <f t="shared" si="13"/>
        <v>44427.042782983488</v>
      </c>
    </row>
    <row r="345" spans="1:7" x14ac:dyDescent="0.4">
      <c r="A345" s="326" t="s">
        <v>220</v>
      </c>
      <c r="B345" s="327">
        <v>8.3036512753191603E-3</v>
      </c>
      <c r="C345" s="328">
        <f t="shared" si="11"/>
        <v>34830.834076577819</v>
      </c>
      <c r="F345" s="379">
        <f t="shared" si="12"/>
        <v>3.9553447280780748E-3</v>
      </c>
      <c r="G345" s="328">
        <f t="shared" si="13"/>
        <v>33182.500413725276</v>
      </c>
    </row>
    <row r="346" spans="1:7" x14ac:dyDescent="0.4">
      <c r="A346" s="326" t="s">
        <v>221</v>
      </c>
      <c r="B346" s="327">
        <v>2.1244458599218783E-4</v>
      </c>
      <c r="C346" s="328">
        <f t="shared" si="11"/>
        <v>891.12871914009293</v>
      </c>
      <c r="F346" s="379">
        <f t="shared" si="12"/>
        <v>1.1158228857564697E-3</v>
      </c>
      <c r="G346" s="328">
        <f t="shared" si="13"/>
        <v>9360.9523097748406</v>
      </c>
    </row>
    <row r="347" spans="1:7" x14ac:dyDescent="0.4">
      <c r="A347" s="326" t="s">
        <v>222</v>
      </c>
      <c r="B347" s="327">
        <v>1.2311440032946211E-3</v>
      </c>
      <c r="C347" s="328">
        <f t="shared" si="11"/>
        <v>5164.2068147280806</v>
      </c>
      <c r="F347" s="379">
        <f t="shared" si="12"/>
        <v>1.1972593624063545E-3</v>
      </c>
      <c r="G347" s="328">
        <f t="shared" si="13"/>
        <v>10044.145838001185</v>
      </c>
    </row>
    <row r="348" spans="1:7" x14ac:dyDescent="0.4">
      <c r="A348" s="326" t="s">
        <v>223</v>
      </c>
      <c r="B348" s="327">
        <v>1.0652910547702151E-2</v>
      </c>
      <c r="C348" s="328">
        <f t="shared" si="11"/>
        <v>44685.132770749413</v>
      </c>
      <c r="F348" s="379">
        <f t="shared" si="12"/>
        <v>1.251106797365144E-2</v>
      </c>
      <c r="G348" s="328">
        <f t="shared" si="13"/>
        <v>104958.87128744833</v>
      </c>
    </row>
    <row r="349" spans="1:7" x14ac:dyDescent="0.4">
      <c r="A349" s="326" t="s">
        <v>224</v>
      </c>
      <c r="B349" s="327">
        <v>9.349533417635239E-3</v>
      </c>
      <c r="C349" s="328">
        <f t="shared" si="11"/>
        <v>39217.933938411421</v>
      </c>
      <c r="F349" s="379">
        <f t="shared" si="12"/>
        <v>9.8804450566855762E-3</v>
      </c>
      <c r="G349" s="328">
        <f t="shared" si="13"/>
        <v>82889.835076541378</v>
      </c>
    </row>
    <row r="350" spans="1:7" x14ac:dyDescent="0.4">
      <c r="A350" s="326" t="s">
        <v>225</v>
      </c>
      <c r="B350" s="327">
        <v>1.6647464857760946E-2</v>
      </c>
      <c r="C350" s="328">
        <f t="shared" si="11"/>
        <v>69830.134603532555</v>
      </c>
      <c r="F350" s="379">
        <f t="shared" si="12"/>
        <v>1.3810042745679509E-2</v>
      </c>
      <c r="G350" s="328">
        <f t="shared" si="13"/>
        <v>115856.33633120553</v>
      </c>
    </row>
    <row r="351" spans="1:7" x14ac:dyDescent="0.4">
      <c r="A351" s="326" t="s">
        <v>226</v>
      </c>
      <c r="B351" s="327">
        <v>3.2537473849949031E-3</v>
      </c>
      <c r="C351" s="328">
        <f t="shared" si="11"/>
        <v>13648.30139612293</v>
      </c>
      <c r="F351" s="379">
        <f t="shared" si="12"/>
        <v>2.925701922759072E-3</v>
      </c>
      <c r="G351" s="328">
        <f t="shared" si="13"/>
        <v>24544.537059747639</v>
      </c>
    </row>
    <row r="352" spans="1:7" x14ac:dyDescent="0.4">
      <c r="A352" s="326" t="s">
        <v>227</v>
      </c>
      <c r="B352" s="327">
        <v>3.3712461126607605E-3</v>
      </c>
      <c r="C352" s="328">
        <f t="shared" si="11"/>
        <v>14141.166348159488</v>
      </c>
      <c r="F352" s="379">
        <f t="shared" si="12"/>
        <v>1.4911434988508063E-3</v>
      </c>
      <c r="G352" s="328">
        <f t="shared" si="13"/>
        <v>12509.622591501196</v>
      </c>
    </row>
    <row r="353" spans="1:7" x14ac:dyDescent="0.4">
      <c r="A353" s="326" t="s">
        <v>228</v>
      </c>
      <c r="B353" s="327">
        <v>4.0084220579383829E-4</v>
      </c>
      <c r="C353" s="328">
        <f t="shared" si="11"/>
        <v>1681.3890538000717</v>
      </c>
      <c r="F353" s="379">
        <f t="shared" si="12"/>
        <v>1.1158228857564697E-3</v>
      </c>
      <c r="G353" s="328">
        <f t="shared" si="13"/>
        <v>9360.9523097748406</v>
      </c>
    </row>
    <row r="354" spans="1:7" x14ac:dyDescent="0.4">
      <c r="A354" s="326" t="s">
        <v>229</v>
      </c>
      <c r="B354" s="327">
        <v>1.5699617193736182E-2</v>
      </c>
      <c r="C354" s="328">
        <f t="shared" si="11"/>
        <v>65854.25415999243</v>
      </c>
      <c r="F354" s="379">
        <f t="shared" si="12"/>
        <v>1.8624188807950921E-2</v>
      </c>
      <c r="G354" s="328">
        <f t="shared" si="13"/>
        <v>156243.56290315499</v>
      </c>
    </row>
    <row r="355" spans="1:7" x14ac:dyDescent="0.4">
      <c r="A355" s="326" t="s">
        <v>230</v>
      </c>
      <c r="B355" s="327">
        <v>1.6551231903656244E-3</v>
      </c>
      <c r="C355" s="328">
        <f t="shared" si="11"/>
        <v>6942.6471932018094</v>
      </c>
      <c r="F355" s="379">
        <f t="shared" si="12"/>
        <v>1.1158228857564697E-3</v>
      </c>
      <c r="G355" s="328">
        <f t="shared" si="13"/>
        <v>9360.9523097748406</v>
      </c>
    </row>
    <row r="356" spans="1:7" x14ac:dyDescent="0.4">
      <c r="A356" s="326" t="s">
        <v>231</v>
      </c>
      <c r="B356" s="327">
        <v>1.6313377423619029E-2</v>
      </c>
      <c r="C356" s="328">
        <f t="shared" si="11"/>
        <v>68428.757835669734</v>
      </c>
      <c r="F356" s="379">
        <f t="shared" si="12"/>
        <v>2.1942015319676638E-2</v>
      </c>
      <c r="G356" s="328">
        <f t="shared" si="13"/>
        <v>184077.74352879732</v>
      </c>
    </row>
    <row r="357" spans="1:7" x14ac:dyDescent="0.4">
      <c r="A357" s="326" t="s">
        <v>232</v>
      </c>
      <c r="B357" s="327">
        <v>8.2354106048785122E-3</v>
      </c>
      <c r="C357" s="328">
        <f t="shared" si="11"/>
        <v>34544.588979019667</v>
      </c>
      <c r="F357" s="379">
        <f t="shared" si="12"/>
        <v>5.1205609395258301E-3</v>
      </c>
      <c r="G357" s="328">
        <f t="shared" si="13"/>
        <v>42957.827237698977</v>
      </c>
    </row>
    <row r="358" spans="1:7" x14ac:dyDescent="0.4">
      <c r="A358" s="326" t="s">
        <v>233</v>
      </c>
      <c r="B358" s="327">
        <v>2.7931925430499261E-3</v>
      </c>
      <c r="C358" s="328">
        <f t="shared" si="11"/>
        <v>11716.439284977921</v>
      </c>
      <c r="F358" s="379">
        <f t="shared" si="12"/>
        <v>1.9403440244674594E-3</v>
      </c>
      <c r="G358" s="328">
        <f t="shared" si="13"/>
        <v>16278.092257699653</v>
      </c>
    </row>
    <row r="359" spans="1:7" x14ac:dyDescent="0.4">
      <c r="A359" s="326" t="s">
        <v>135</v>
      </c>
      <c r="B359" s="327">
        <v>0</v>
      </c>
      <c r="C359" s="328">
        <f t="shared" si="11"/>
        <v>0</v>
      </c>
      <c r="F359" s="379">
        <f t="shared" si="12"/>
        <v>0</v>
      </c>
      <c r="G359" s="328">
        <f t="shared" si="13"/>
        <v>0</v>
      </c>
    </row>
    <row r="360" spans="1:7" x14ac:dyDescent="0.4">
      <c r="A360" s="326" t="s">
        <v>136</v>
      </c>
      <c r="B360" s="353">
        <f>SUM(B301:B359)</f>
        <v>1.0000000000000002</v>
      </c>
      <c r="C360" s="335">
        <f>SUM(C301:C359)</f>
        <v>4194640.7576273205</v>
      </c>
      <c r="F360" s="353">
        <f>SUM(F301:F359)</f>
        <v>0.99999999999999967</v>
      </c>
      <c r="G360" s="335">
        <f>SUM(G301:G359)</f>
        <v>8389281.5152546372</v>
      </c>
    </row>
    <row r="370" spans="1:7" x14ac:dyDescent="0.45">
      <c r="A370" s="734" t="s">
        <v>156</v>
      </c>
      <c r="B370" s="734"/>
      <c r="C370" s="734"/>
      <c r="D370" s="734"/>
      <c r="E370" s="734"/>
      <c r="F370" s="734"/>
      <c r="G370" s="734"/>
    </row>
    <row r="371" spans="1:7" ht="15" customHeight="1" x14ac:dyDescent="0.45">
      <c r="A371" s="733" t="s">
        <v>237</v>
      </c>
      <c r="B371" s="733"/>
      <c r="C371" s="733"/>
      <c r="D371" s="733"/>
      <c r="E371" s="733"/>
      <c r="F371" s="733"/>
      <c r="G371" s="733"/>
    </row>
    <row r="372" spans="1:7" x14ac:dyDescent="0.45">
      <c r="A372" s="16"/>
      <c r="B372" s="16"/>
      <c r="C372" s="16"/>
      <c r="D372" s="16"/>
      <c r="E372" s="16"/>
      <c r="F372" s="16"/>
      <c r="G372" s="16"/>
    </row>
    <row r="373" spans="1:7" x14ac:dyDescent="0.45">
      <c r="B373" s="339" t="s">
        <v>157</v>
      </c>
      <c r="C373" s="343">
        <f>B27</f>
        <v>7926277.0684277359</v>
      </c>
      <c r="D373" s="16"/>
      <c r="E373" s="16"/>
      <c r="F373" s="295" t="s">
        <v>158</v>
      </c>
      <c r="G373" s="340">
        <f>B28</f>
        <v>463004.44682690356</v>
      </c>
    </row>
    <row r="374" spans="1:7" ht="14.65" thickBot="1" x14ac:dyDescent="0.5">
      <c r="A374" s="16"/>
      <c r="B374" s="16"/>
      <c r="C374" s="16"/>
      <c r="D374" s="16"/>
      <c r="E374" s="16"/>
      <c r="F374" s="341"/>
    </row>
    <row r="375" spans="1:7" ht="14.65" thickBot="1" x14ac:dyDescent="0.5">
      <c r="A375" s="16"/>
      <c r="B375" s="735" t="s">
        <v>159</v>
      </c>
      <c r="C375" s="736"/>
      <c r="D375" s="16"/>
      <c r="E375" s="16"/>
      <c r="F375" s="731" t="s">
        <v>160</v>
      </c>
      <c r="G375" s="732"/>
    </row>
    <row r="376" spans="1:7" ht="6" customHeight="1" thickBot="1" x14ac:dyDescent="0.5">
      <c r="A376" s="16"/>
      <c r="B376" s="333"/>
      <c r="C376" s="162"/>
      <c r="D376" s="16"/>
      <c r="E376" s="16"/>
      <c r="F376" s="333"/>
      <c r="G376" s="162"/>
    </row>
    <row r="377" spans="1:7" x14ac:dyDescent="0.45">
      <c r="A377" s="345"/>
      <c r="B377" s="456" t="s">
        <v>287</v>
      </c>
      <c r="C377" s="328"/>
      <c r="F377" s="456" t="s">
        <v>287</v>
      </c>
      <c r="G377" s="328"/>
    </row>
    <row r="378" spans="1:7" x14ac:dyDescent="0.4">
      <c r="A378" s="336" t="s">
        <v>177</v>
      </c>
      <c r="B378" s="327">
        <v>3.5017927241611548E-2</v>
      </c>
      <c r="C378" s="328">
        <f>IF(B378="TBD","TBD",C$373*B378)</f>
        <v>277561.79367905651</v>
      </c>
      <c r="F378" s="327">
        <v>6.19737822803577E-2</v>
      </c>
      <c r="G378" s="328">
        <f>IF(F378="TBD","TBD",G$373*F378)</f>
        <v>28694.136782487974</v>
      </c>
    </row>
    <row r="379" spans="1:7" x14ac:dyDescent="0.4">
      <c r="A379" s="326" t="s">
        <v>178</v>
      </c>
      <c r="B379" s="327">
        <v>1.1810024086921919E-3</v>
      </c>
      <c r="C379" s="328">
        <f>IF(B379="TBD","TBD",C$373*B379)</f>
        <v>9360.9523097748406</v>
      </c>
      <c r="F379" s="327">
        <v>0</v>
      </c>
      <c r="G379" s="328">
        <f t="shared" ref="G379:G436" si="14">IF(F379="TBD","TBD",G$373*F379)</f>
        <v>0</v>
      </c>
    </row>
    <row r="380" spans="1:7" x14ac:dyDescent="0.4">
      <c r="A380" s="326" t="s">
        <v>179</v>
      </c>
      <c r="B380" s="327">
        <v>1.1810024086921919E-3</v>
      </c>
      <c r="C380" s="328">
        <f t="shared" ref="C380:C436" si="15">IF(B380="TBD","TBD",C$373*B380)</f>
        <v>9360.9523097748406</v>
      </c>
      <c r="F380" s="327">
        <v>0</v>
      </c>
      <c r="G380" s="328">
        <f t="shared" si="14"/>
        <v>0</v>
      </c>
    </row>
    <row r="381" spans="1:7" x14ac:dyDescent="0.4">
      <c r="A381" s="326" t="s">
        <v>180</v>
      </c>
      <c r="B381" s="327">
        <v>5.2176908003446574E-3</v>
      </c>
      <c r="C381" s="328">
        <f t="shared" si="15"/>
        <v>41356.862940918218</v>
      </c>
      <c r="F381" s="327">
        <v>2.9511316053591093E-3</v>
      </c>
      <c r="G381" s="328">
        <f t="shared" si="14"/>
        <v>1366.3870564526862</v>
      </c>
    </row>
    <row r="382" spans="1:7" x14ac:dyDescent="0.4">
      <c r="A382" s="326" t="s">
        <v>181</v>
      </c>
      <c r="B382" s="327">
        <v>1.1810024086921919E-3</v>
      </c>
      <c r="C382" s="328">
        <f t="shared" si="15"/>
        <v>9360.9523097748406</v>
      </c>
      <c r="F382" s="327">
        <v>0</v>
      </c>
      <c r="G382" s="328">
        <f t="shared" si="14"/>
        <v>0</v>
      </c>
    </row>
    <row r="383" spans="1:7" x14ac:dyDescent="0.4">
      <c r="A383" s="326" t="s">
        <v>182</v>
      </c>
      <c r="B383" s="327">
        <v>1.1810024086921919E-3</v>
      </c>
      <c r="C383" s="328">
        <f t="shared" si="15"/>
        <v>9360.9523097748406</v>
      </c>
      <c r="F383" s="327">
        <v>0</v>
      </c>
      <c r="G383" s="328">
        <f t="shared" si="14"/>
        <v>0</v>
      </c>
    </row>
    <row r="384" spans="1:7" x14ac:dyDescent="0.4">
      <c r="A384" s="326" t="s">
        <v>183</v>
      </c>
      <c r="B384" s="327">
        <v>2.3622079663065627E-2</v>
      </c>
      <c r="C384" s="328">
        <f t="shared" si="15"/>
        <v>187235.14834193027</v>
      </c>
      <c r="F384" s="327">
        <v>3.9840295240164386E-2</v>
      </c>
      <c r="G384" s="328">
        <f t="shared" si="14"/>
        <v>18446.23385909283</v>
      </c>
    </row>
    <row r="385" spans="1:7" x14ac:dyDescent="0.4">
      <c r="A385" s="326" t="s">
        <v>184</v>
      </c>
      <c r="B385" s="327">
        <v>1.1810024086921919E-3</v>
      </c>
      <c r="C385" s="328">
        <f t="shared" si="15"/>
        <v>9360.9523097748406</v>
      </c>
      <c r="F385" s="327">
        <v>0</v>
      </c>
      <c r="G385" s="328">
        <f t="shared" si="14"/>
        <v>0</v>
      </c>
    </row>
    <row r="386" spans="1:7" x14ac:dyDescent="0.4">
      <c r="A386" s="326" t="s">
        <v>185</v>
      </c>
      <c r="B386" s="327">
        <v>3.8057049217436012E-3</v>
      </c>
      <c r="C386" s="328">
        <f t="shared" si="15"/>
        <v>30165.071650418879</v>
      </c>
      <c r="F386" s="327">
        <v>1.4755658026795546E-3</v>
      </c>
      <c r="G386" s="328">
        <f t="shared" si="14"/>
        <v>683.19352822634312</v>
      </c>
    </row>
    <row r="387" spans="1:7" x14ac:dyDescent="0.4">
      <c r="A387" s="326" t="s">
        <v>186</v>
      </c>
      <c r="B387" s="327">
        <v>3.6246072564892602E-2</v>
      </c>
      <c r="C387" s="328">
        <f t="shared" si="15"/>
        <v>287296.41379167594</v>
      </c>
      <c r="F387" s="327">
        <v>6.9505241406772764E-2</v>
      </c>
      <c r="G387" s="328">
        <f t="shared" si="14"/>
        <v>32181.235849113214</v>
      </c>
    </row>
    <row r="388" spans="1:7" x14ac:dyDescent="0.4">
      <c r="A388" s="326" t="s">
        <v>187</v>
      </c>
      <c r="B388" s="327">
        <v>1.1810024086921919E-3</v>
      </c>
      <c r="C388" s="328">
        <f t="shared" si="15"/>
        <v>9360.9523097748406</v>
      </c>
      <c r="F388" s="327">
        <v>1.4755658026795546E-3</v>
      </c>
      <c r="G388" s="328">
        <f t="shared" si="14"/>
        <v>683.19352822634312</v>
      </c>
    </row>
    <row r="389" spans="1:7" x14ac:dyDescent="0.4">
      <c r="A389" s="326" t="s">
        <v>188</v>
      </c>
      <c r="B389" s="327">
        <v>2.5794891336069943E-3</v>
      </c>
      <c r="C389" s="328">
        <f t="shared" si="15"/>
        <v>20445.745567967646</v>
      </c>
      <c r="F389" s="327">
        <v>2.9511316053591093E-3</v>
      </c>
      <c r="G389" s="328">
        <f t="shared" si="14"/>
        <v>1366.3870564526862</v>
      </c>
    </row>
    <row r="390" spans="1:7" x14ac:dyDescent="0.4">
      <c r="A390" s="326" t="s">
        <v>189</v>
      </c>
      <c r="B390" s="327">
        <v>4.7269272567690909E-3</v>
      </c>
      <c r="C390" s="328">
        <f t="shared" si="15"/>
        <v>37466.935119454873</v>
      </c>
      <c r="F390" s="327">
        <v>0</v>
      </c>
      <c r="G390" s="328">
        <f t="shared" si="14"/>
        <v>0</v>
      </c>
    </row>
    <row r="391" spans="1:7" x14ac:dyDescent="0.4">
      <c r="A391" s="326" t="s">
        <v>190</v>
      </c>
      <c r="B391" s="327">
        <v>1.1810024086921919E-3</v>
      </c>
      <c r="C391" s="328">
        <f t="shared" si="15"/>
        <v>9360.9523097748406</v>
      </c>
      <c r="F391" s="327">
        <v>0</v>
      </c>
      <c r="G391" s="328">
        <f t="shared" si="14"/>
        <v>0</v>
      </c>
    </row>
    <row r="392" spans="1:7" x14ac:dyDescent="0.4">
      <c r="A392" s="326" t="s">
        <v>191</v>
      </c>
      <c r="B392" s="327">
        <v>3.827261050622123E-2</v>
      </c>
      <c r="C392" s="328">
        <f t="shared" si="15"/>
        <v>303359.3150043278</v>
      </c>
      <c r="F392" s="327">
        <v>7.8985244323405368E-2</v>
      </c>
      <c r="G392" s="328">
        <f t="shared" si="14"/>
        <v>36570.519355446129</v>
      </c>
    </row>
    <row r="393" spans="1:7" x14ac:dyDescent="0.4">
      <c r="A393" s="326" t="s">
        <v>192</v>
      </c>
      <c r="B393" s="327">
        <v>5.5096287084677089E-3</v>
      </c>
      <c r="C393" s="328">
        <f t="shared" si="15"/>
        <v>43670.843687478722</v>
      </c>
      <c r="F393" s="327">
        <v>8.8533948160773278E-3</v>
      </c>
      <c r="G393" s="328">
        <f t="shared" si="14"/>
        <v>4099.1611693580589</v>
      </c>
    </row>
    <row r="394" spans="1:7" x14ac:dyDescent="0.4">
      <c r="A394" s="326" t="s">
        <v>193</v>
      </c>
      <c r="B394" s="327">
        <v>1.2737958037165999E-3</v>
      </c>
      <c r="C394" s="328">
        <f t="shared" si="15"/>
        <v>10096.458468858364</v>
      </c>
      <c r="F394" s="327">
        <v>1.4755658026795546E-3</v>
      </c>
      <c r="G394" s="328">
        <f t="shared" si="14"/>
        <v>683.19352822634312</v>
      </c>
    </row>
    <row r="395" spans="1:7" x14ac:dyDescent="0.4">
      <c r="A395" s="326" t="s">
        <v>194</v>
      </c>
      <c r="B395" s="327">
        <v>1.1810024086921919E-3</v>
      </c>
      <c r="C395" s="328">
        <f t="shared" si="15"/>
        <v>9360.9523097748406</v>
      </c>
      <c r="F395" s="327">
        <v>0</v>
      </c>
      <c r="G395" s="328">
        <f t="shared" si="14"/>
        <v>0</v>
      </c>
    </row>
    <row r="396" spans="1:7" x14ac:dyDescent="0.4">
      <c r="A396" s="326" t="s">
        <v>195</v>
      </c>
      <c r="B396" s="327">
        <v>0.25800424947848172</v>
      </c>
      <c r="C396" s="328">
        <f t="shared" si="15"/>
        <v>2045013.1661981982</v>
      </c>
      <c r="F396" s="327">
        <v>0.24754750246251014</v>
      </c>
      <c r="G396" s="328">
        <f t="shared" si="14"/>
        <v>114615.59444103605</v>
      </c>
    </row>
    <row r="397" spans="1:7" x14ac:dyDescent="0.4">
      <c r="A397" s="326" t="s">
        <v>196</v>
      </c>
      <c r="B397" s="327">
        <v>5.3411864726787862E-3</v>
      </c>
      <c r="C397" s="328">
        <f t="shared" si="15"/>
        <v>42335.723856590288</v>
      </c>
      <c r="F397" s="327">
        <v>2.9511316053591093E-3</v>
      </c>
      <c r="G397" s="328">
        <f t="shared" si="14"/>
        <v>1366.3870564526862</v>
      </c>
    </row>
    <row r="398" spans="1:7" x14ac:dyDescent="0.4">
      <c r="A398" s="326" t="s">
        <v>197</v>
      </c>
      <c r="B398" s="327">
        <v>6.5702363672417293E-3</v>
      </c>
      <c r="C398" s="328">
        <f t="shared" si="15"/>
        <v>52077.513851818068</v>
      </c>
      <c r="F398" s="327">
        <v>0</v>
      </c>
      <c r="G398" s="328">
        <f t="shared" si="14"/>
        <v>0</v>
      </c>
    </row>
    <row r="399" spans="1:7" x14ac:dyDescent="0.4">
      <c r="A399" s="326" t="s">
        <v>198</v>
      </c>
      <c r="B399" s="327">
        <v>1.1810024086921919E-3</v>
      </c>
      <c r="C399" s="328">
        <f t="shared" si="15"/>
        <v>9360.9523097748406</v>
      </c>
      <c r="F399" s="327">
        <v>0</v>
      </c>
      <c r="G399" s="328">
        <f t="shared" si="14"/>
        <v>0</v>
      </c>
    </row>
    <row r="400" spans="1:7" x14ac:dyDescent="0.4">
      <c r="A400" s="326" t="s">
        <v>199</v>
      </c>
      <c r="B400" s="327">
        <v>1.4520158693690601E-3</v>
      </c>
      <c r="C400" s="328">
        <f t="shared" si="15"/>
        <v>11509.080088373144</v>
      </c>
      <c r="F400" s="327">
        <v>0</v>
      </c>
      <c r="G400" s="328">
        <f t="shared" si="14"/>
        <v>0</v>
      </c>
    </row>
    <row r="401" spans="1:7" x14ac:dyDescent="0.4">
      <c r="A401" s="326" t="s">
        <v>200</v>
      </c>
      <c r="B401" s="327">
        <v>9.2362020815497537E-3</v>
      </c>
      <c r="C401" s="328">
        <f t="shared" si="15"/>
        <v>73208.696758352336</v>
      </c>
      <c r="F401" s="327">
        <v>2.5084618645552427E-2</v>
      </c>
      <c r="G401" s="328">
        <f t="shared" si="14"/>
        <v>11614.289979847832</v>
      </c>
    </row>
    <row r="402" spans="1:7" x14ac:dyDescent="0.4">
      <c r="A402" s="326" t="s">
        <v>201</v>
      </c>
      <c r="B402" s="327">
        <v>1.1810024086921919E-3</v>
      </c>
      <c r="C402" s="328">
        <f t="shared" si="15"/>
        <v>9360.9523097748406</v>
      </c>
      <c r="F402" s="327">
        <v>0</v>
      </c>
      <c r="G402" s="328">
        <f t="shared" si="14"/>
        <v>0</v>
      </c>
    </row>
    <row r="403" spans="1:7" x14ac:dyDescent="0.4">
      <c r="A403" s="326" t="s">
        <v>202</v>
      </c>
      <c r="B403" s="327">
        <v>1.1810024086921919E-3</v>
      </c>
      <c r="C403" s="328">
        <f t="shared" si="15"/>
        <v>9360.9523097748406</v>
      </c>
      <c r="F403" s="327">
        <v>0</v>
      </c>
      <c r="G403" s="328">
        <f t="shared" si="14"/>
        <v>0</v>
      </c>
    </row>
    <row r="404" spans="1:7" x14ac:dyDescent="0.4">
      <c r="A404" s="326" t="s">
        <v>203</v>
      </c>
      <c r="B404" s="327">
        <v>1.2199217507879541E-2</v>
      </c>
      <c r="C404" s="328">
        <f t="shared" si="15"/>
        <v>96694.377985467756</v>
      </c>
      <c r="F404" s="327">
        <v>3.4167103180557393E-2</v>
      </c>
      <c r="G404" s="328">
        <f t="shared" si="14"/>
        <v>15819.520707791713</v>
      </c>
    </row>
    <row r="405" spans="1:7" x14ac:dyDescent="0.4">
      <c r="A405" s="326" t="s">
        <v>204</v>
      </c>
      <c r="B405" s="327">
        <v>4.4389048190628293E-3</v>
      </c>
      <c r="C405" s="328">
        <f t="shared" si="15"/>
        <v>35183.989476271076</v>
      </c>
      <c r="F405" s="327">
        <v>0</v>
      </c>
      <c r="G405" s="328">
        <f t="shared" si="14"/>
        <v>0</v>
      </c>
    </row>
    <row r="406" spans="1:7" x14ac:dyDescent="0.4">
      <c r="A406" s="326" t="s">
        <v>205</v>
      </c>
      <c r="B406" s="327">
        <v>1.5950411706020075E-3</v>
      </c>
      <c r="C406" s="328">
        <f t="shared" si="15"/>
        <v>12642.738253740825</v>
      </c>
      <c r="F406" s="327">
        <v>0</v>
      </c>
      <c r="G406" s="328">
        <f t="shared" si="14"/>
        <v>0</v>
      </c>
    </row>
    <row r="407" spans="1:7" x14ac:dyDescent="0.4">
      <c r="A407" s="326" t="s">
        <v>206</v>
      </c>
      <c r="B407" s="327">
        <v>8.5262297878414259E-2</v>
      </c>
      <c r="C407" s="328">
        <f t="shared" si="15"/>
        <v>675812.59647512971</v>
      </c>
      <c r="F407" s="327">
        <v>3.6373052609735362E-2</v>
      </c>
      <c r="G407" s="328">
        <f t="shared" si="14"/>
        <v>16840.885102976383</v>
      </c>
    </row>
    <row r="408" spans="1:7" x14ac:dyDescent="0.4">
      <c r="A408" s="326" t="s">
        <v>207</v>
      </c>
      <c r="B408" s="327">
        <v>6.36939008874587E-3</v>
      </c>
      <c r="C408" s="328">
        <f t="shared" si="15"/>
        <v>50485.550600297291</v>
      </c>
      <c r="F408" s="327">
        <v>1.4755658026795546E-3</v>
      </c>
      <c r="G408" s="328">
        <f t="shared" si="14"/>
        <v>683.19352822634312</v>
      </c>
    </row>
    <row r="409" spans="1:7" x14ac:dyDescent="0.4">
      <c r="A409" s="326" t="s">
        <v>208</v>
      </c>
      <c r="B409" s="327">
        <v>1.1810024086921919E-3</v>
      </c>
      <c r="C409" s="328">
        <f t="shared" si="15"/>
        <v>9360.9523097748406</v>
      </c>
      <c r="F409" s="327">
        <v>0</v>
      </c>
      <c r="G409" s="328">
        <f t="shared" si="14"/>
        <v>0</v>
      </c>
    </row>
    <row r="410" spans="1:7" x14ac:dyDescent="0.4">
      <c r="A410" s="326" t="s">
        <v>209</v>
      </c>
      <c r="B410" s="327">
        <v>6.3492066522106969E-2</v>
      </c>
      <c r="C410" s="328">
        <f t="shared" si="15"/>
        <v>503255.7109012648</v>
      </c>
      <c r="F410" s="327">
        <v>2.9511316053591089E-2</v>
      </c>
      <c r="G410" s="328">
        <f t="shared" si="14"/>
        <v>13663.87056452686</v>
      </c>
    </row>
    <row r="411" spans="1:7" x14ac:dyDescent="0.4">
      <c r="A411" s="326" t="s">
        <v>210</v>
      </c>
      <c r="B411" s="327">
        <v>4.3380861196871977E-2</v>
      </c>
      <c r="C411" s="328">
        <f t="shared" si="15"/>
        <v>343848.72531341296</v>
      </c>
      <c r="F411" s="327">
        <v>3.5413597832125727E-2</v>
      </c>
      <c r="G411" s="328">
        <f t="shared" si="14"/>
        <v>16396.653274413802</v>
      </c>
    </row>
    <row r="412" spans="1:7" x14ac:dyDescent="0.4">
      <c r="A412" s="326" t="s">
        <v>211</v>
      </c>
      <c r="B412" s="327">
        <v>1.1810024086921919E-3</v>
      </c>
      <c r="C412" s="328">
        <f t="shared" si="15"/>
        <v>9360.9523097748406</v>
      </c>
      <c r="F412" s="327">
        <v>4.4266974080386639E-3</v>
      </c>
      <c r="G412" s="328">
        <f t="shared" si="14"/>
        <v>2049.5805846790295</v>
      </c>
    </row>
    <row r="413" spans="1:7" x14ac:dyDescent="0.4">
      <c r="A413" s="326" t="s">
        <v>212</v>
      </c>
      <c r="B413" s="327">
        <v>7.7557654285057981E-2</v>
      </c>
      <c r="C413" s="328">
        <f t="shared" si="15"/>
        <v>614743.45664070116</v>
      </c>
      <c r="F413" s="327">
        <v>2.0657921237513765E-2</v>
      </c>
      <c r="G413" s="328">
        <f t="shared" si="14"/>
        <v>9564.7093951688039</v>
      </c>
    </row>
    <row r="414" spans="1:7" x14ac:dyDescent="0.4">
      <c r="A414" s="326" t="s">
        <v>213</v>
      </c>
      <c r="B414" s="327">
        <v>5.1609068262023806E-2</v>
      </c>
      <c r="C414" s="328">
        <f t="shared" si="15"/>
        <v>409067.77428820095</v>
      </c>
      <c r="F414" s="327">
        <v>0.13519420237014829</v>
      </c>
      <c r="G414" s="328">
        <f t="shared" si="14"/>
        <v>62595.516882594959</v>
      </c>
    </row>
    <row r="415" spans="1:7" x14ac:dyDescent="0.4">
      <c r="A415" s="326" t="s">
        <v>214</v>
      </c>
      <c r="B415" s="327">
        <v>1.304315431381394E-2</v>
      </c>
      <c r="C415" s="328">
        <f t="shared" si="15"/>
        <v>103383.65493754773</v>
      </c>
      <c r="F415" s="327">
        <v>4.4266974080386639E-3</v>
      </c>
      <c r="G415" s="328">
        <f t="shared" si="14"/>
        <v>2049.5805846790295</v>
      </c>
    </row>
    <row r="416" spans="1:7" x14ac:dyDescent="0.4">
      <c r="A416" s="326" t="s">
        <v>215</v>
      </c>
      <c r="B416" s="327">
        <v>2.1030199855208931E-2</v>
      </c>
      <c r="C416" s="328">
        <f t="shared" si="15"/>
        <v>166691.19085679486</v>
      </c>
      <c r="F416" s="327">
        <v>1.6231223829475099E-2</v>
      </c>
      <c r="G416" s="328">
        <f t="shared" si="14"/>
        <v>7515.1288104897731</v>
      </c>
    </row>
    <row r="417" spans="1:7" x14ac:dyDescent="0.4">
      <c r="A417" s="326" t="s">
        <v>216</v>
      </c>
      <c r="B417" s="327">
        <v>5.5632185915212313E-3</v>
      </c>
      <c r="C417" s="328">
        <f t="shared" si="15"/>
        <v>44095.611948625585</v>
      </c>
      <c r="F417" s="327">
        <v>6.0262405209208312E-3</v>
      </c>
      <c r="G417" s="328">
        <f t="shared" si="14"/>
        <v>2790.1761588348204</v>
      </c>
    </row>
    <row r="418" spans="1:7" x14ac:dyDescent="0.4">
      <c r="A418" s="336" t="s">
        <v>176</v>
      </c>
      <c r="B418" s="337">
        <v>1.5135176057473242E-2</v>
      </c>
      <c r="C418" s="328">
        <f t="shared" si="15"/>
        <v>119965.59891096667</v>
      </c>
      <c r="D418" s="338"/>
      <c r="E418" s="338"/>
      <c r="F418" s="337">
        <v>1.6231223829475099E-2</v>
      </c>
      <c r="G418" s="328">
        <f t="shared" si="14"/>
        <v>7515.1288104897731</v>
      </c>
    </row>
    <row r="419" spans="1:7" x14ac:dyDescent="0.4">
      <c r="A419" s="336" t="s">
        <v>217</v>
      </c>
      <c r="B419" s="337">
        <v>1.0574762585966466E-2</v>
      </c>
      <c r="C419" s="328">
        <f t="shared" si="15"/>
        <v>83818.498189213584</v>
      </c>
      <c r="D419" s="338"/>
      <c r="E419" s="338"/>
      <c r="F419" s="337">
        <v>7.3778290133977723E-3</v>
      </c>
      <c r="G419" s="328">
        <f t="shared" si="14"/>
        <v>3415.967641131715</v>
      </c>
    </row>
    <row r="420" spans="1:7" x14ac:dyDescent="0.4">
      <c r="A420" s="336" t="s">
        <v>218</v>
      </c>
      <c r="B420" s="337">
        <v>3.3758568786016248E-2</v>
      </c>
      <c r="C420" s="328">
        <f t="shared" si="15"/>
        <v>267579.76963154093</v>
      </c>
      <c r="D420" s="338"/>
      <c r="E420" s="338"/>
      <c r="F420" s="337">
        <v>1.7706789632154656E-2</v>
      </c>
      <c r="G420" s="328">
        <f t="shared" si="14"/>
        <v>8198.3223387161179</v>
      </c>
    </row>
    <row r="421" spans="1:7" x14ac:dyDescent="0.4">
      <c r="A421" s="336" t="s">
        <v>219</v>
      </c>
      <c r="B421" s="337">
        <v>5.5188392831988422E-3</v>
      </c>
      <c r="C421" s="328">
        <f t="shared" si="15"/>
        <v>43743.849254757144</v>
      </c>
      <c r="D421" s="338"/>
      <c r="E421" s="338"/>
      <c r="F421" s="337">
        <v>1.4755658026795546E-3</v>
      </c>
      <c r="G421" s="328">
        <f t="shared" si="14"/>
        <v>683.19352822634312</v>
      </c>
    </row>
    <row r="422" spans="1:7" x14ac:dyDescent="0.4">
      <c r="A422" s="326" t="s">
        <v>220</v>
      </c>
      <c r="B422" s="327">
        <v>4.1001981895070856E-3</v>
      </c>
      <c r="C422" s="328">
        <f t="shared" si="15"/>
        <v>32499.306885498932</v>
      </c>
      <c r="F422" s="327">
        <v>1.4755658026795546E-3</v>
      </c>
      <c r="G422" s="328">
        <f t="shared" si="14"/>
        <v>683.19352822634312</v>
      </c>
    </row>
    <row r="423" spans="1:7" x14ac:dyDescent="0.4">
      <c r="A423" s="326" t="s">
        <v>221</v>
      </c>
      <c r="B423" s="327">
        <v>1.1810024086921919E-3</v>
      </c>
      <c r="C423" s="328">
        <f t="shared" si="15"/>
        <v>9360.9523097748406</v>
      </c>
      <c r="F423" s="327">
        <v>0</v>
      </c>
      <c r="G423" s="328">
        <f t="shared" si="14"/>
        <v>0</v>
      </c>
    </row>
    <row r="424" spans="1:7" x14ac:dyDescent="0.4">
      <c r="A424" s="326" t="s">
        <v>222</v>
      </c>
      <c r="B424" s="327">
        <v>1.1810024086921919E-3</v>
      </c>
      <c r="C424" s="328">
        <f t="shared" si="15"/>
        <v>9360.9523097748406</v>
      </c>
      <c r="F424" s="327">
        <v>1.4755658026795546E-3</v>
      </c>
      <c r="G424" s="328">
        <f t="shared" si="14"/>
        <v>683.19352822634312</v>
      </c>
    </row>
    <row r="425" spans="1:7" x14ac:dyDescent="0.4">
      <c r="A425" s="326" t="s">
        <v>223</v>
      </c>
      <c r="B425" s="327">
        <v>1.2379952802312204E-2</v>
      </c>
      <c r="C425" s="328">
        <f t="shared" si="15"/>
        <v>98126.936005184907</v>
      </c>
      <c r="F425" s="327">
        <v>1.4755658026795545E-2</v>
      </c>
      <c r="G425" s="328">
        <f t="shared" si="14"/>
        <v>6831.9352822634301</v>
      </c>
    </row>
    <row r="426" spans="1:7" x14ac:dyDescent="0.4">
      <c r="A426" s="326" t="s">
        <v>224</v>
      </c>
      <c r="B426" s="327">
        <v>9.1592657994044278E-3</v>
      </c>
      <c r="C426" s="328">
        <f t="shared" si="15"/>
        <v>72598.878469453746</v>
      </c>
      <c r="F426" s="327">
        <v>2.2226474664799382E-2</v>
      </c>
      <c r="G426" s="328">
        <f t="shared" si="14"/>
        <v>10290.956607087624</v>
      </c>
    </row>
    <row r="427" spans="1:7" x14ac:dyDescent="0.4">
      <c r="A427" s="326" t="s">
        <v>225</v>
      </c>
      <c r="B427" s="327">
        <v>1.3126891149841061E-2</v>
      </c>
      <c r="C427" s="328">
        <f t="shared" si="15"/>
        <v>104047.3763007322</v>
      </c>
      <c r="F427" s="327">
        <v>2.5505068280452525E-2</v>
      </c>
      <c r="G427" s="328">
        <f t="shared" si="14"/>
        <v>11808.960030473325</v>
      </c>
    </row>
    <row r="428" spans="1:7" x14ac:dyDescent="0.4">
      <c r="A428" s="326" t="s">
        <v>226</v>
      </c>
      <c r="B428" s="327">
        <v>2.9242164768147061E-3</v>
      </c>
      <c r="C428" s="328">
        <f t="shared" si="15"/>
        <v>23178.150003294952</v>
      </c>
      <c r="F428" s="327">
        <v>2.9511316053591093E-3</v>
      </c>
      <c r="G428" s="328">
        <f t="shared" si="14"/>
        <v>1366.3870564526862</v>
      </c>
    </row>
    <row r="429" spans="1:7" x14ac:dyDescent="0.4">
      <c r="A429" s="326" t="s">
        <v>227</v>
      </c>
      <c r="B429" s="327">
        <v>1.578246947905723E-3</v>
      </c>
      <c r="C429" s="328">
        <f t="shared" si="15"/>
        <v>12509.622591501196</v>
      </c>
      <c r="F429" s="327">
        <v>0</v>
      </c>
      <c r="G429" s="328">
        <f t="shared" si="14"/>
        <v>0</v>
      </c>
    </row>
    <row r="430" spans="1:7" x14ac:dyDescent="0.4">
      <c r="A430" s="326" t="s">
        <v>228</v>
      </c>
      <c r="B430" s="327">
        <v>1.1810024086921919E-3</v>
      </c>
      <c r="C430" s="328">
        <f t="shared" si="15"/>
        <v>9360.9523097748406</v>
      </c>
      <c r="F430" s="327">
        <v>0</v>
      </c>
      <c r="G430" s="328">
        <f t="shared" si="14"/>
        <v>0</v>
      </c>
    </row>
    <row r="431" spans="1:7" x14ac:dyDescent="0.4">
      <c r="A431" s="326" t="s">
        <v>229</v>
      </c>
      <c r="B431" s="327">
        <v>1.8900149240703778E-2</v>
      </c>
      <c r="C431" s="328">
        <f t="shared" si="15"/>
        <v>149807.81951645223</v>
      </c>
      <c r="F431" s="327">
        <v>1.3899960207312637E-2</v>
      </c>
      <c r="G431" s="328">
        <f t="shared" si="14"/>
        <v>6435.7433867027594</v>
      </c>
    </row>
    <row r="432" spans="1:7" x14ac:dyDescent="0.4">
      <c r="A432" s="326" t="s">
        <v>230</v>
      </c>
      <c r="B432" s="327">
        <v>1.1810024086921919E-3</v>
      </c>
      <c r="C432" s="328">
        <f t="shared" si="15"/>
        <v>9360.9523097748406</v>
      </c>
      <c r="F432" s="327">
        <v>0</v>
      </c>
      <c r="G432" s="328">
        <f t="shared" si="14"/>
        <v>0</v>
      </c>
    </row>
    <row r="433" spans="1:7" x14ac:dyDescent="0.4">
      <c r="A433" s="326" t="s">
        <v>231</v>
      </c>
      <c r="B433" s="327">
        <v>2.3137539656678856E-2</v>
      </c>
      <c r="C433" s="328">
        <f t="shared" si="15"/>
        <v>183394.55000057098</v>
      </c>
      <c r="F433" s="327">
        <v>1.4755658026795546E-3</v>
      </c>
      <c r="G433" s="328">
        <f t="shared" si="14"/>
        <v>683.19352822634312</v>
      </c>
    </row>
    <row r="434" spans="1:7" x14ac:dyDescent="0.4">
      <c r="A434" s="326" t="s">
        <v>232</v>
      </c>
      <c r="B434" s="327">
        <v>5.1585737047581811E-3</v>
      </c>
      <c r="C434" s="328">
        <f t="shared" si="15"/>
        <v>40888.284461819079</v>
      </c>
      <c r="F434" s="327">
        <v>4.4698118777541746E-3</v>
      </c>
      <c r="G434" s="328">
        <f t="shared" si="14"/>
        <v>2069.5427758798946</v>
      </c>
    </row>
    <row r="435" spans="1:7" x14ac:dyDescent="0.4">
      <c r="A435" s="326" t="s">
        <v>233</v>
      </c>
      <c r="B435" s="327">
        <v>2.0536870105814496E-3</v>
      </c>
      <c r="C435" s="328">
        <f t="shared" si="15"/>
        <v>16278.092257699653</v>
      </c>
      <c r="F435" s="327">
        <v>0</v>
      </c>
      <c r="G435" s="328">
        <f t="shared" si="14"/>
        <v>0</v>
      </c>
    </row>
    <row r="436" spans="1:7" x14ac:dyDescent="0.4">
      <c r="A436" s="326" t="s">
        <v>135</v>
      </c>
      <c r="B436" s="331">
        <v>0</v>
      </c>
      <c r="C436" s="332">
        <f t="shared" si="15"/>
        <v>0</v>
      </c>
      <c r="F436" s="327">
        <v>0</v>
      </c>
      <c r="G436" s="328">
        <f t="shared" si="14"/>
        <v>0</v>
      </c>
    </row>
    <row r="437" spans="1:7" ht="14.65" thickBot="1" x14ac:dyDescent="0.45">
      <c r="A437" s="326" t="s">
        <v>136</v>
      </c>
      <c r="B437" s="352">
        <f>SUM(B378:B436)</f>
        <v>0.99999999999999989</v>
      </c>
      <c r="C437" s="330">
        <f>SUM(C378:C436)</f>
        <v>7926277.068427735</v>
      </c>
      <c r="F437" s="560">
        <f>SUM(F378:F436)</f>
        <v>1</v>
      </c>
      <c r="G437" s="463">
        <f>SUM(G378:G436)</f>
        <v>463004.44682690356</v>
      </c>
    </row>
  </sheetData>
  <mergeCells count="25">
    <mergeCell ref="B375:C375"/>
    <mergeCell ref="F375:G375"/>
    <mergeCell ref="A370:G370"/>
    <mergeCell ref="A371:G371"/>
    <mergeCell ref="A140:G140"/>
    <mergeCell ref="A141:G141"/>
    <mergeCell ref="B145:C145"/>
    <mergeCell ref="F145:G145"/>
    <mergeCell ref="A214:G214"/>
    <mergeCell ref="A293:G293"/>
    <mergeCell ref="A294:G294"/>
    <mergeCell ref="B298:C298"/>
    <mergeCell ref="F298:G298"/>
    <mergeCell ref="A216:G216"/>
    <mergeCell ref="A217:G217"/>
    <mergeCell ref="B221:C221"/>
    <mergeCell ref="F221:G221"/>
    <mergeCell ref="A4:G4"/>
    <mergeCell ref="A65:G65"/>
    <mergeCell ref="A66:G66"/>
    <mergeCell ref="B70:C70"/>
    <mergeCell ref="F70:G70"/>
    <mergeCell ref="A33:G33"/>
    <mergeCell ref="A5:G5"/>
    <mergeCell ref="A34:G34"/>
  </mergeCells>
  <phoneticPr fontId="18" type="noConversion"/>
  <pageMargins left="1.25" right="1" top="0.75" bottom="0.5" header="0.3" footer="0.3"/>
  <pageSetup scale="63" fitToHeight="6" orientation="portrait" r:id="rId1"/>
  <headerFooter alignWithMargins="0">
    <oddHeader>&amp;C&amp;"Calibri,Bold"&amp;14&amp;A</oddHeader>
    <oddFooter>&amp;L&amp;Z&amp;F &amp;A</oddFooter>
  </headerFooter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About the workbook</vt:lpstr>
      <vt:lpstr>FY SetUp Instructions</vt:lpstr>
      <vt:lpstr>Monthly Instructions</vt:lpstr>
      <vt:lpstr>County One Time Input-BASE</vt:lpstr>
      <vt:lpstr>Monthly Receipts Input</vt:lpstr>
      <vt:lpstr>County Dist Support Svc Acct</vt:lpstr>
      <vt:lpstr>County Distribution Law Enf</vt:lpstr>
      <vt:lpstr>Statewide Forecast Model</vt:lpstr>
      <vt:lpstr>County One Time Input-GROWTH</vt:lpstr>
      <vt:lpstr>Sheet1</vt:lpstr>
      <vt:lpstr>For next year</vt:lpstr>
      <vt:lpstr>SMC Prior Year Receipts</vt:lpstr>
      <vt:lpstr>SMC FISCAL YEAR Receipts</vt:lpstr>
    </vt:vector>
  </TitlesOfParts>
  <Company>County of San Mateo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GonzaleG</dc:creator>
  <cp:lastModifiedBy>William Chiat</cp:lastModifiedBy>
  <cp:lastPrinted>2018-09-14T22:51:02Z</cp:lastPrinted>
  <dcterms:created xsi:type="dcterms:W3CDTF">2012-11-29T23:46:32Z</dcterms:created>
  <dcterms:modified xsi:type="dcterms:W3CDTF">2018-09-27T16:33:20Z</dcterms:modified>
</cp:coreProperties>
</file>